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20"/>
  </bookViews>
  <sheets>
    <sheet name="Доходы" sheetId="8" r:id="rId1"/>
    <sheet name="Расходы" sheetId="9" r:id="rId2"/>
    <sheet name="Источники " sheetId="3" r:id="rId3"/>
    <sheet name="_params" sheetId="4" state="hidden" r:id="rId4"/>
  </sheets>
  <definedNames>
    <definedName name="_Beg0104">Расходы!#REF!</definedName>
    <definedName name="_Beg0105">Расходы!#REF!</definedName>
    <definedName name="_Beg0106">Расходы!#REF!</definedName>
    <definedName name="_Beg0107">Расходы!#REF!</definedName>
    <definedName name="_Beg0108">Расходы!#REF!</definedName>
    <definedName name="_Beg0109">Расходы!#REF!</definedName>
    <definedName name="_Beg0204">Расходы!$F$23</definedName>
    <definedName name="_Beg0205">Расходы!$G$23</definedName>
    <definedName name="_Beg0206">Расходы!$H$23</definedName>
    <definedName name="_Beg0207">Расходы!$I$23</definedName>
    <definedName name="_Beg0208">Расходы!$L$23</definedName>
    <definedName name="_Beg0209">Расходы!$O$23</definedName>
    <definedName name="_Beg0210">Расходы!$P$23</definedName>
    <definedName name="_Beg0211">Расходы!$Q$23</definedName>
    <definedName name="_Beg0304">Расходы!#REF!</definedName>
    <definedName name="_Beg0305">Расходы!#REF!</definedName>
    <definedName name="_Beg0306">Расходы!#REF!</definedName>
    <definedName name="_Beg0307">Расходы!#REF!</definedName>
    <definedName name="_Beg0308">Расходы!#REF!</definedName>
    <definedName name="_Beg0309">Расходы!#REF!</definedName>
    <definedName name="_Beg0404">Расходы!#REF!</definedName>
    <definedName name="_Beg0405">Расходы!#REF!</definedName>
    <definedName name="_Beg0406">Расходы!#REF!</definedName>
    <definedName name="_Beg0407">Расходы!#REF!</definedName>
    <definedName name="_Beg0408">Расходы!#REF!</definedName>
    <definedName name="_Beg0409">Расходы!#REF!</definedName>
    <definedName name="_Sum0104">Расходы!#REF!</definedName>
    <definedName name="_Sum0105">Расходы!#REF!</definedName>
    <definedName name="_Sum0106">Расходы!#REF!</definedName>
    <definedName name="_Sum0107">Расходы!#REF!</definedName>
    <definedName name="_Sum0108">Расходы!#REF!</definedName>
    <definedName name="_Sum0109">Расходы!#REF!</definedName>
    <definedName name="_Sum0204">Расходы!#REF!</definedName>
    <definedName name="_Sum0205">Расходы!#REF!</definedName>
    <definedName name="_Sum0206">Расходы!#REF!</definedName>
    <definedName name="_Sum0207">Расходы!#REF!</definedName>
    <definedName name="_Sum0208">Расходы!#REF!</definedName>
    <definedName name="_Sum0209">Расходы!#REF!</definedName>
    <definedName name="_Sum0210">Расходы!#REF!</definedName>
    <definedName name="_Sum0211">Расходы!#REF!</definedName>
    <definedName name="_Sum0304">Расходы!#REF!</definedName>
    <definedName name="_Sum0305">Расходы!#REF!</definedName>
    <definedName name="_Sum0306">Расходы!#REF!</definedName>
    <definedName name="_Sum0307">Расходы!#REF!</definedName>
    <definedName name="_Sum0308">Расходы!#REF!</definedName>
    <definedName name="_Sum0309">Расходы!#REF!</definedName>
    <definedName name="_Sum0404">Расходы!#REF!</definedName>
    <definedName name="_Sum0405">Расходы!#REF!</definedName>
    <definedName name="_Sum0406">Расходы!#REF!</definedName>
    <definedName name="_Sum0407">Расходы!#REF!</definedName>
    <definedName name="_Sum0408">Расходы!#REF!</definedName>
    <definedName name="_Sum0409">Расходы!#REF!</definedName>
    <definedName name="APPT" localSheetId="2">'Источники '!$B$25</definedName>
    <definedName name="detailEndExpend">Расходы!#REF!</definedName>
    <definedName name="detailEndFinSrcI">Расходы!#REF!</definedName>
    <definedName name="detailEndFinSrcO">Расходы!#REF!</definedName>
    <definedName name="detailEndIncome">Расходы!#REF!</definedName>
    <definedName name="detailStartExpend">Расходы!$B$23</definedName>
    <definedName name="detailStartFinSrcI">Расходы!#REF!</definedName>
    <definedName name="detailStartFinSrcO">Расходы!#REF!</definedName>
    <definedName name="detailStartIncome">Расходы!#REF!</definedName>
    <definedName name="FIO">#REF!</definedName>
    <definedName name="LAST_CELL" localSheetId="2">'Источники '!$G$27</definedName>
    <definedName name="LoadScript">#REF!</definedName>
    <definedName name="RBEGIN_1" localSheetId="2">'Источники '!$B$12</definedName>
    <definedName name="REND_1" localSheetId="2">'Источники '!$B$27</definedName>
    <definedName name="S_520" localSheetId="2">'Источники '!$B$14</definedName>
    <definedName name="S_620" localSheetId="2">'Источники '!$B$18</definedName>
    <definedName name="S_700" localSheetId="2">'Источники '!$B$20</definedName>
    <definedName name="S_700A" localSheetId="2">'Источники '!$B$21</definedName>
    <definedName name="SIGN" localSheetId="2">'Источники '!$B$25:$E$27</definedName>
    <definedName name="txt_fileName">#REF!</definedName>
    <definedName name="UnloadScript">#REF!</definedName>
    <definedName name="Дефициты_First">Расходы!#REF!</definedName>
    <definedName name="Дефициты_First1">Расходы!#REF!</definedName>
    <definedName name="Дефициты_Last">Расходы!#REF!</definedName>
    <definedName name="Дефициты_Last1">Расходы!#REF!</definedName>
    <definedName name="Доходы_Last">Расходы!#REF!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_xlnm.Print_Area" localSheetId="0">Доходы!$A$1:$FK$100</definedName>
    <definedName name="Расходы_First">Расходы!#REF!</definedName>
    <definedName name="Расходы_Last">Расходы!$Q$102</definedName>
  </definedNames>
  <calcPr calcId="124519"/>
</workbook>
</file>

<file path=xl/calcChain.xml><?xml version="1.0" encoding="utf-8"?>
<calcChain xmlns="http://schemas.openxmlformats.org/spreadsheetml/2006/main">
  <c r="E12" i="3"/>
  <c r="E20"/>
  <c r="P31" i="9" l="1"/>
  <c r="F24"/>
  <c r="G24"/>
  <c r="H24" s="1"/>
  <c r="F25"/>
  <c r="G25"/>
  <c r="H25"/>
  <c r="O25" s="1"/>
  <c r="P25"/>
  <c r="G26"/>
  <c r="H26"/>
  <c r="O26" s="1"/>
  <c r="P26"/>
  <c r="F27"/>
  <c r="G27"/>
  <c r="H27" s="1"/>
  <c r="O27" s="1"/>
  <c r="F28"/>
  <c r="P28" s="1"/>
  <c r="H28"/>
  <c r="O28"/>
  <c r="F29"/>
  <c r="G29"/>
  <c r="H29"/>
  <c r="O29" s="1"/>
  <c r="P29"/>
  <c r="F30"/>
  <c r="G30"/>
  <c r="H30" s="1"/>
  <c r="O30" s="1"/>
  <c r="F31"/>
  <c r="G31"/>
  <c r="H31"/>
  <c r="O31" s="1"/>
  <c r="F32"/>
  <c r="G32"/>
  <c r="H32" s="1"/>
  <c r="O32" s="1"/>
  <c r="F33"/>
  <c r="G33"/>
  <c r="H33"/>
  <c r="O33" s="1"/>
  <c r="P33"/>
  <c r="G34"/>
  <c r="H34"/>
  <c r="O34" s="1"/>
  <c r="P34"/>
  <c r="F35"/>
  <c r="G35"/>
  <c r="H35" s="1"/>
  <c r="O35" s="1"/>
  <c r="F36"/>
  <c r="G36"/>
  <c r="H36"/>
  <c r="O36" s="1"/>
  <c r="P36"/>
  <c r="F37"/>
  <c r="G37"/>
  <c r="H37" s="1"/>
  <c r="O37" s="1"/>
  <c r="F38"/>
  <c r="P38" s="1"/>
  <c r="H38"/>
  <c r="O38"/>
  <c r="G39"/>
  <c r="H39" s="1"/>
  <c r="O39" s="1"/>
  <c r="F40"/>
  <c r="P40" s="1"/>
  <c r="H40"/>
  <c r="O40"/>
  <c r="H41"/>
  <c r="O41" s="1"/>
  <c r="P41"/>
  <c r="F42"/>
  <c r="H42"/>
  <c r="O42" s="1"/>
  <c r="P42"/>
  <c r="A43"/>
  <c r="H43"/>
  <c r="O43" s="1"/>
  <c r="P43"/>
  <c r="F44"/>
  <c r="G44"/>
  <c r="H44" s="1"/>
  <c r="O44" s="1"/>
  <c r="F45"/>
  <c r="F46"/>
  <c r="G46"/>
  <c r="H46" s="1"/>
  <c r="H47" s="1"/>
  <c r="O46"/>
  <c r="O47" s="1"/>
  <c r="F47"/>
  <c r="H48"/>
  <c r="O48"/>
  <c r="O49" s="1"/>
  <c r="P48"/>
  <c r="F49"/>
  <c r="G49"/>
  <c r="H49"/>
  <c r="P49"/>
  <c r="O50"/>
  <c r="F51"/>
  <c r="O51"/>
  <c r="P51"/>
  <c r="A52"/>
  <c r="F52"/>
  <c r="F59" s="1"/>
  <c r="G52"/>
  <c r="H52"/>
  <c r="O52" s="1"/>
  <c r="O59" s="1"/>
  <c r="P52"/>
  <c r="P59" s="1"/>
  <c r="A53"/>
  <c r="F53"/>
  <c r="G53"/>
  <c r="H53"/>
  <c r="O53"/>
  <c r="P53"/>
  <c r="A54"/>
  <c r="P54"/>
  <c r="A55"/>
  <c r="F55"/>
  <c r="G55"/>
  <c r="H55"/>
  <c r="O55"/>
  <c r="P55"/>
  <c r="H56"/>
  <c r="O56"/>
  <c r="P56"/>
  <c r="H57"/>
  <c r="O57"/>
  <c r="P57"/>
  <c r="A58"/>
  <c r="P58"/>
  <c r="G59"/>
  <c r="K59"/>
  <c r="N59"/>
  <c r="A60"/>
  <c r="F60"/>
  <c r="G60"/>
  <c r="H60" s="1"/>
  <c r="A61"/>
  <c r="F61"/>
  <c r="G61"/>
  <c r="H61" s="1"/>
  <c r="O61" s="1"/>
  <c r="H62"/>
  <c r="O62" s="1"/>
  <c r="P62"/>
  <c r="F63"/>
  <c r="G63"/>
  <c r="K63"/>
  <c r="N63"/>
  <c r="A64"/>
  <c r="F64"/>
  <c r="G64"/>
  <c r="H64" s="1"/>
  <c r="H67" s="1"/>
  <c r="O64"/>
  <c r="O67" s="1"/>
  <c r="O65"/>
  <c r="P65"/>
  <c r="A66"/>
  <c r="H66"/>
  <c r="O66"/>
  <c r="P66"/>
  <c r="F67"/>
  <c r="K67"/>
  <c r="N67"/>
  <c r="A68"/>
  <c r="G68"/>
  <c r="H68" s="1"/>
  <c r="H69" s="1"/>
  <c r="O68"/>
  <c r="O69" s="1"/>
  <c r="F69"/>
  <c r="H70"/>
  <c r="O70"/>
  <c r="P70"/>
  <c r="F71"/>
  <c r="H71"/>
  <c r="O71"/>
  <c r="P71"/>
  <c r="H72"/>
  <c r="O72"/>
  <c r="P72"/>
  <c r="P73" s="1"/>
  <c r="F73"/>
  <c r="G73"/>
  <c r="H73" s="1"/>
  <c r="O73"/>
  <c r="A74"/>
  <c r="A77" s="1"/>
  <c r="F74"/>
  <c r="H74"/>
  <c r="O74" s="1"/>
  <c r="P74"/>
  <c r="A75"/>
  <c r="H75"/>
  <c r="O75" s="1"/>
  <c r="P75"/>
  <c r="G76"/>
  <c r="H76"/>
  <c r="O76" s="1"/>
  <c r="P76"/>
  <c r="G77"/>
  <c r="H77" s="1"/>
  <c r="O77" s="1"/>
  <c r="H78"/>
  <c r="O78"/>
  <c r="P78"/>
  <c r="A79"/>
  <c r="A84" s="1"/>
  <c r="G79"/>
  <c r="H79"/>
  <c r="O79" s="1"/>
  <c r="P79"/>
  <c r="H80"/>
  <c r="O80" s="1"/>
  <c r="P80"/>
  <c r="F81"/>
  <c r="F87" s="1"/>
  <c r="G81"/>
  <c r="H81"/>
  <c r="O81" s="1"/>
  <c r="P81"/>
  <c r="F82"/>
  <c r="G82"/>
  <c r="H82"/>
  <c r="O82" s="1"/>
  <c r="P82"/>
  <c r="G83"/>
  <c r="H83"/>
  <c r="O83" s="1"/>
  <c r="P83"/>
  <c r="G84"/>
  <c r="H84" s="1"/>
  <c r="O84" s="1"/>
  <c r="F85"/>
  <c r="G85"/>
  <c r="H85" s="1"/>
  <c r="O85" s="1"/>
  <c r="O86"/>
  <c r="G87"/>
  <c r="K87"/>
  <c r="N87"/>
  <c r="H88"/>
  <c r="O88" s="1"/>
  <c r="P88"/>
  <c r="A90"/>
  <c r="H90"/>
  <c r="O90" s="1"/>
  <c r="P90"/>
  <c r="F91"/>
  <c r="G91"/>
  <c r="P91" s="1"/>
  <c r="G92"/>
  <c r="H92" s="1"/>
  <c r="F93"/>
  <c r="F96" s="1"/>
  <c r="G93"/>
  <c r="H93"/>
  <c r="O93" s="1"/>
  <c r="P93"/>
  <c r="F94"/>
  <c r="G94"/>
  <c r="H94" s="1"/>
  <c r="O94" s="1"/>
  <c r="F95"/>
  <c r="G95"/>
  <c r="H95"/>
  <c r="O95" s="1"/>
  <c r="P95"/>
  <c r="G96"/>
  <c r="K96"/>
  <c r="N96"/>
  <c r="F97"/>
  <c r="F98" s="1"/>
  <c r="P98" s="1"/>
  <c r="G97"/>
  <c r="H97"/>
  <c r="H98" s="1"/>
  <c r="O97"/>
  <c r="P97"/>
  <c r="G98"/>
  <c r="K98"/>
  <c r="N98"/>
  <c r="O98"/>
  <c r="A99"/>
  <c r="H99"/>
  <c r="O99"/>
  <c r="O100" s="1"/>
  <c r="P99"/>
  <c r="F100"/>
  <c r="G100"/>
  <c r="H100"/>
  <c r="K100"/>
  <c r="N100"/>
  <c r="P100"/>
  <c r="BR19" i="8"/>
  <c r="BR18" s="1"/>
  <c r="CM21"/>
  <c r="CM20" s="1"/>
  <c r="CM22"/>
  <c r="EG22"/>
  <c r="EV22" s="1"/>
  <c r="CM23"/>
  <c r="EG23" s="1"/>
  <c r="EV23" s="1"/>
  <c r="EG24"/>
  <c r="EV24"/>
  <c r="CM25"/>
  <c r="EG25"/>
  <c r="EV25" s="1"/>
  <c r="EG26"/>
  <c r="EV26" s="1"/>
  <c r="CM28"/>
  <c r="EG28"/>
  <c r="EV28" s="1"/>
  <c r="CM29"/>
  <c r="CM27" s="1"/>
  <c r="EG27" s="1"/>
  <c r="EV27" s="1"/>
  <c r="EG30"/>
  <c r="EV30"/>
  <c r="BR32"/>
  <c r="BR31" s="1"/>
  <c r="CM34"/>
  <c r="CM33" s="1"/>
  <c r="EV34"/>
  <c r="CM35"/>
  <c r="EG35"/>
  <c r="EV35"/>
  <c r="EG36"/>
  <c r="EV36"/>
  <c r="EG37"/>
  <c r="EV37"/>
  <c r="CM38"/>
  <c r="EG38" s="1"/>
  <c r="EV38" s="1"/>
  <c r="EG39"/>
  <c r="EV39"/>
  <c r="EG40"/>
  <c r="EV40"/>
  <c r="EG41"/>
  <c r="EV41"/>
  <c r="BR43"/>
  <c r="CM45"/>
  <c r="CM44" s="1"/>
  <c r="CM46"/>
  <c r="EG46"/>
  <c r="EV46" s="1"/>
  <c r="BR49"/>
  <c r="BR48" s="1"/>
  <c r="CM50"/>
  <c r="CM49" s="1"/>
  <c r="CM51"/>
  <c r="EG51"/>
  <c r="EV51" s="1"/>
  <c r="EG52"/>
  <c r="EV52" s="1"/>
  <c r="EG53"/>
  <c r="EV53" s="1"/>
  <c r="EG55"/>
  <c r="EV55" s="1"/>
  <c r="BR56"/>
  <c r="EV56" s="1"/>
  <c r="CM58"/>
  <c r="CM56" s="1"/>
  <c r="EG56" s="1"/>
  <c r="EG58"/>
  <c r="EV58" s="1"/>
  <c r="CM59"/>
  <c r="CM57" s="1"/>
  <c r="EG57" s="1"/>
  <c r="EV57" s="1"/>
  <c r="EG60"/>
  <c r="EV60"/>
  <c r="EG61"/>
  <c r="EV61"/>
  <c r="BR63"/>
  <c r="BR62" s="1"/>
  <c r="CM65"/>
  <c r="CM64" s="1"/>
  <c r="EG66"/>
  <c r="EV66"/>
  <c r="EG67"/>
  <c r="EV67"/>
  <c r="CM69"/>
  <c r="CM68" s="1"/>
  <c r="EG68" s="1"/>
  <c r="EV68" s="1"/>
  <c r="CM70"/>
  <c r="EG70"/>
  <c r="EV70" s="1"/>
  <c r="CM71"/>
  <c r="EG71"/>
  <c r="BR72"/>
  <c r="BR71" s="1"/>
  <c r="EV71" s="1"/>
  <c r="EG72"/>
  <c r="EV72"/>
  <c r="EG73"/>
  <c r="EV73"/>
  <c r="CM74"/>
  <c r="EG74" s="1"/>
  <c r="EG75"/>
  <c r="EV75"/>
  <c r="EG76"/>
  <c r="EV76"/>
  <c r="EG77"/>
  <c r="EV77"/>
  <c r="EG78"/>
  <c r="EV78"/>
  <c r="BR79"/>
  <c r="EG79"/>
  <c r="EV79" s="1"/>
  <c r="EG80"/>
  <c r="EV80" s="1"/>
  <c r="BR81"/>
  <c r="BR74" s="1"/>
  <c r="EV74" s="1"/>
  <c r="EG81"/>
  <c r="EV81"/>
  <c r="EG82"/>
  <c r="EV82"/>
  <c r="CM83"/>
  <c r="EG83"/>
  <c r="EV83" s="1"/>
  <c r="EG84"/>
  <c r="EV84" s="1"/>
  <c r="EG85"/>
  <c r="EV85" s="1"/>
  <c r="BR89"/>
  <c r="BR88" s="1"/>
  <c r="CM90"/>
  <c r="CM89" s="1"/>
  <c r="BR92"/>
  <c r="BR91" s="1"/>
  <c r="CM92"/>
  <c r="EG92" s="1"/>
  <c r="EV92" s="1"/>
  <c r="CM93"/>
  <c r="EG93"/>
  <c r="EV93" s="1"/>
  <c r="BR94"/>
  <c r="EV94" s="1"/>
  <c r="CM94"/>
  <c r="EG94"/>
  <c r="EG95"/>
  <c r="EV95" s="1"/>
  <c r="BR97"/>
  <c r="CM98"/>
  <c r="CM97" s="1"/>
  <c r="EG99"/>
  <c r="EV99"/>
  <c r="A80" i="9" l="1"/>
  <c r="A81" s="1"/>
  <c r="A78"/>
  <c r="H63"/>
  <c r="O60"/>
  <c r="O63" s="1"/>
  <c r="H96"/>
  <c r="O92"/>
  <c r="O96" s="1"/>
  <c r="O24"/>
  <c r="O45" s="1"/>
  <c r="H45"/>
  <c r="F22"/>
  <c r="F101" s="1"/>
  <c r="P94"/>
  <c r="P92"/>
  <c r="H91"/>
  <c r="O91" s="1"/>
  <c r="H87"/>
  <c r="O87" s="1"/>
  <c r="P85"/>
  <c r="P84"/>
  <c r="P77"/>
  <c r="P87" s="1"/>
  <c r="G69"/>
  <c r="P68"/>
  <c r="P69" s="1"/>
  <c r="G67"/>
  <c r="P64"/>
  <c r="P67" s="1"/>
  <c r="P61"/>
  <c r="P60"/>
  <c r="P63" s="1"/>
  <c r="H59"/>
  <c r="G47"/>
  <c r="P46"/>
  <c r="P47" s="1"/>
  <c r="G45"/>
  <c r="G22" s="1"/>
  <c r="G101" s="1"/>
  <c r="H101" s="1"/>
  <c r="O101" s="1"/>
  <c r="P44"/>
  <c r="P39"/>
  <c r="P37"/>
  <c r="P35"/>
  <c r="P32"/>
  <c r="P30"/>
  <c r="P27"/>
  <c r="P24"/>
  <c r="P45" s="1"/>
  <c r="EG97" i="8"/>
  <c r="CM96"/>
  <c r="EG96" s="1"/>
  <c r="CM88"/>
  <c r="EG89"/>
  <c r="EG49"/>
  <c r="CM48"/>
  <c r="EG48" s="1"/>
  <c r="CM43"/>
  <c r="EG44"/>
  <c r="EV44" s="1"/>
  <c r="CM19"/>
  <c r="EG20"/>
  <c r="EV20" s="1"/>
  <c r="CM63"/>
  <c r="EG64"/>
  <c r="EV64"/>
  <c r="CM32"/>
  <c r="EG33"/>
  <c r="EV33" s="1"/>
  <c r="EV97"/>
  <c r="EV48"/>
  <c r="BR42"/>
  <c r="BR96"/>
  <c r="EV96" s="1"/>
  <c r="CM91"/>
  <c r="EG91" s="1"/>
  <c r="EV91" s="1"/>
  <c r="EG98"/>
  <c r="EV98" s="1"/>
  <c r="EG90"/>
  <c r="EV90" s="1"/>
  <c r="EV89"/>
  <c r="EG69"/>
  <c r="EV69" s="1"/>
  <c r="EG65"/>
  <c r="EV65" s="1"/>
  <c r="EG59"/>
  <c r="EV59" s="1"/>
  <c r="EG50"/>
  <c r="EV50" s="1"/>
  <c r="EV49"/>
  <c r="EG45"/>
  <c r="EV45" s="1"/>
  <c r="EG34"/>
  <c r="EG29"/>
  <c r="EV29" s="1"/>
  <c r="EG21"/>
  <c r="EV21" s="1"/>
  <c r="F21" i="3"/>
  <c r="F20" s="1"/>
  <c r="F12" s="1"/>
  <c r="A82" i="9" l="1"/>
  <c r="A85"/>
  <c r="P22"/>
  <c r="O22"/>
  <c r="P96"/>
  <c r="H22"/>
  <c r="CM62" i="8"/>
  <c r="EG62" s="1"/>
  <c r="EV62" s="1"/>
  <c r="EG63"/>
  <c r="EV63" s="1"/>
  <c r="CM18"/>
  <c r="EG19"/>
  <c r="EV19" s="1"/>
  <c r="CM42"/>
  <c r="EG42" s="1"/>
  <c r="EG43"/>
  <c r="EV43" s="1"/>
  <c r="CM87"/>
  <c r="EG88"/>
  <c r="EV88" s="1"/>
  <c r="EV42"/>
  <c r="BR17"/>
  <c r="CM31"/>
  <c r="EG31" s="1"/>
  <c r="EV31" s="1"/>
  <c r="EG32"/>
  <c r="EV32" s="1"/>
  <c r="BR87"/>
  <c r="EV87" l="1"/>
  <c r="BR86"/>
  <c r="CM86"/>
  <c r="EG87"/>
  <c r="CM17"/>
  <c r="EG17" s="1"/>
  <c r="EG18"/>
  <c r="EV18" s="1"/>
  <c r="EV17"/>
  <c r="EG86" l="1"/>
  <c r="CM100"/>
  <c r="EG100" s="1"/>
  <c r="EV86"/>
  <c r="BR100"/>
  <c r="EV100" s="1"/>
  <c r="E26" i="3" l="1"/>
  <c r="E27" s="1"/>
  <c r="E16"/>
  <c r="E17" s="1"/>
  <c r="F26" l="1"/>
  <c r="F27" s="1"/>
  <c r="F23" l="1"/>
  <c r="F24" s="1"/>
  <c r="E23" l="1"/>
  <c r="E24" s="1"/>
</calcChain>
</file>

<file path=xl/comments1.xml><?xml version="1.0" encoding="utf-8"?>
<comments xmlns="http://schemas.openxmlformats.org/spreadsheetml/2006/main">
  <authors>
    <author>Калиновское с п</author>
  </authors>
  <commentList>
    <comment ref="FK32" authorId="0">
      <text>
        <r>
          <rPr>
            <b/>
            <sz val="9"/>
            <color indexed="81"/>
            <rFont val="Tahoma"/>
            <family val="2"/>
            <charset val="204"/>
          </rPr>
          <t>Калиновское с п: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<sst xmlns="http://schemas.openxmlformats.org/spreadsheetml/2006/main" count="592" uniqueCount="376">
  <si>
    <t>ОТЧЕТ ОБ ИСПОЛНЕНИИ БЮДЖЕТА</t>
  </si>
  <si>
    <t>КОДЫ</t>
  </si>
  <si>
    <t>по ОКТМО</t>
  </si>
  <si>
    <t>383</t>
  </si>
  <si>
    <t>02.12.2017</t>
  </si>
  <si>
    <t>Администрация Калиновского сельского поселения</t>
  </si>
  <si>
    <t>04228800</t>
  </si>
  <si>
    <t>951</t>
  </si>
  <si>
    <t>60601435</t>
  </si>
  <si>
    <t xml:space="preserve"> Наименование показателя</t>
  </si>
  <si>
    <t>Код строки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</si>
  <si>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</si>
  <si>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</si>
  <si>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</si>
  <si>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</si>
  <si>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</si>
  <si>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</si>
  <si>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в том числе:</t>
  </si>
  <si>
    <t>Налог на доходы физических лиц</t>
  </si>
  <si>
    <t>-</t>
  </si>
  <si>
    <t>Единый сельскохозяйственный налог</t>
  </si>
  <si>
    <t>Налог на имущество физических лиц</t>
  </si>
  <si>
    <t>Земельный налог</t>
  </si>
  <si>
    <t>Земельный налог с организаций</t>
  </si>
  <si>
    <t>Доходы от компенсации затрат государства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</si>
  <si>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</si>
  <si>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Дотации на выравнивание бюджетной обеспеченности</t>
  </si>
  <si>
    <t>Субвенции бюджетам сельских поселений на выполнение передаваемых полномочий субъектов Российской Федерации</t>
  </si>
  <si>
    <t>Расходы бюджета - всего</t>
  </si>
  <si>
    <t>200</t>
  </si>
  <si>
    <t>x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</si>
  <si>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</si>
  <si>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</si>
  <si>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</si>
  <si>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</si>
  <si>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</si>
  <si>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</si>
  <si>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</si>
  <si>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</si>
  <si>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</si>
  <si>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</si>
  <si>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</si>
  <si>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</si>
  <si>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</si>
  <si>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</si>
  <si>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</si>
  <si>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</si>
  <si>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</si>
  <si>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</si>
  <si>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</si>
  <si>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</si>
  <si>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</si>
  <si>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</si>
  <si>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</si>
  <si>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</si>
  <si>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</si>
  <si>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</si>
  <si>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</si>
  <si>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</si>
  <si>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</si>
  <si>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</si>
  <si>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</si>
  <si>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</si>
  <si>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</si>
  <si>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</si>
  <si>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</si>
  <si>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</si>
  <si>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</si>
  <si>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</si>
  <si>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</si>
  <si>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</si>
  <si>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</si>
  <si>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</si>
  <si>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</si>
  <si>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</si>
  <si>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</si>
  <si>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C:\Documents and Settings\Admin\Рабочий стол\117Y01.txt</t>
  </si>
  <si>
    <t>Доходы/EXPORT_SRC_CODE</t>
  </si>
  <si>
    <t>058001-07</t>
  </si>
  <si>
    <t>Доходы/PERIOD</t>
  </si>
  <si>
    <t>Наименование бюджета</t>
  </si>
  <si>
    <t>951 01050201000000610</t>
  </si>
  <si>
    <t>Коммунальные услуги</t>
  </si>
  <si>
    <t>Работы, услуги по содержанию имущества</t>
  </si>
  <si>
    <t>Прочие работы, услуги</t>
  </si>
  <si>
    <t>Контрольно-счетная инспекция</t>
  </si>
  <si>
    <t>внутренний мун. контроль</t>
  </si>
  <si>
    <t>Налоги, пошлины и сборы</t>
  </si>
  <si>
    <t>Иные выплаты текущего характера организациям</t>
  </si>
  <si>
    <t>Доходы от реализации имущества, находящегося в государственной и муниципальной собственности</t>
  </si>
  <si>
    <t>Доходы от реализации иного имущества, находящегося в собственности сельских поселений</t>
  </si>
  <si>
    <t>Заведующий сектором экономики и финансов</t>
  </si>
  <si>
    <t>К.Н. Косых</t>
  </si>
  <si>
    <t>951 0104 1310000110 121</t>
  </si>
  <si>
    <t>951 0104 1310000110 129</t>
  </si>
  <si>
    <t>951 0104 1310000110 122</t>
  </si>
  <si>
    <t>951 0104 1310000190 244</t>
  </si>
  <si>
    <t>951 0104 1310000210 244</t>
  </si>
  <si>
    <t>951 0104 9990072390 244</t>
  </si>
  <si>
    <t>951 0111 9910090120 870</t>
  </si>
  <si>
    <t>951 0113 9990028580 244</t>
  </si>
  <si>
    <t>951 0412 9990028580 245</t>
  </si>
  <si>
    <t>951 0113 9990028990 853</t>
  </si>
  <si>
    <t>951 0113 9990085010 540</t>
  </si>
  <si>
    <t>951 0113 9990085040 540</t>
  </si>
  <si>
    <t>951 0113 1410028260 244</t>
  </si>
  <si>
    <t>951 0203 9990051180 121</t>
  </si>
  <si>
    <t>951 0203 9990051180 129</t>
  </si>
  <si>
    <t>951 0203 9990051180 244</t>
  </si>
  <si>
    <t>951 0409 0410028380 244</t>
  </si>
  <si>
    <t>951 0503 0320028800 244</t>
  </si>
  <si>
    <t>951 0503 0710028610 244</t>
  </si>
  <si>
    <t>951 0503 0710028460 244</t>
  </si>
  <si>
    <t>951 0503 0810028490 244</t>
  </si>
  <si>
    <t>951 0503 0810028500 244</t>
  </si>
  <si>
    <t>951 0503 0910028520 244</t>
  </si>
  <si>
    <t>951 0503 0910028530 244</t>
  </si>
  <si>
    <t>951 0705 0110028540 244</t>
  </si>
  <si>
    <t>951 1001 1510028250 312</t>
  </si>
  <si>
    <t>951 1101 1110028360 244</t>
  </si>
  <si>
    <t>951 0107 9190020700 880</t>
  </si>
  <si>
    <t>951 0503 0610028430 244</t>
  </si>
  <si>
    <t>951 0503 0710028610 247</t>
  </si>
  <si>
    <t>951 0104 1310000190 247</t>
  </si>
  <si>
    <t>951 0104 9990085010 540</t>
  </si>
  <si>
    <t>951 0106 9990085040 540</t>
  </si>
  <si>
    <t>951 0310 0210028310 244</t>
  </si>
  <si>
    <t>951 0502 9990028580 244</t>
  </si>
  <si>
    <t>951 0801 1010028550 612</t>
  </si>
  <si>
    <t>Главный бухгалтер</t>
  </si>
  <si>
    <t>И.Ю. Павлова</t>
  </si>
  <si>
    <t>951 0310 02100S1260 244</t>
  </si>
  <si>
    <t xml:space="preserve">Глава администрации Калиновского сельского поселения </t>
  </si>
  <si>
    <t>С.А. Морозова</t>
  </si>
  <si>
    <t>951 0801 1010028190 612</t>
  </si>
  <si>
    <t xml:space="preserve"> </t>
  </si>
  <si>
    <t>ВСЕГО ДОХОДОВ:</t>
  </si>
  <si>
    <t xml:space="preserve">2 02 49999 10  0000 150 </t>
  </si>
  <si>
    <t>Прочие межбюджетные трансферты</t>
  </si>
  <si>
    <t xml:space="preserve">2 02 40014 10  0000 150 </t>
  </si>
  <si>
    <t>Межбюджетные трансферты, передаваемые бюджетам поселений для компенсации дополнительных расходов, возникших в результате решений, принятых органами власти другого уровня</t>
  </si>
  <si>
    <t>Межбюджетные трансферты, передаваемые бюджетам поселений</t>
  </si>
  <si>
    <t>2 02 40000 00 0000 150</t>
  </si>
  <si>
    <t>Прочие субсидии</t>
  </si>
  <si>
    <t>2 02 30024 10 0000 150</t>
  </si>
  <si>
    <t>2 02 30024 00 0000 150</t>
  </si>
  <si>
    <t>Субвенции местным бюджетам на выполнение передаваемых полномочий субъктов Российской Федерации</t>
  </si>
  <si>
    <t>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</si>
  <si>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комисариаты</t>
  </si>
  <si>
    <t>2 02 35118 00 0000 150</t>
  </si>
  <si>
    <t>Субвенции бюджетам на осуществление первичного воинского учета на территориях, где отсутствуют военные комисариаты</t>
  </si>
  <si>
    <t>2 02 30000 00 0000 150</t>
  </si>
  <si>
    <t>Субвенции бюджетам субъектов Российиской Федерации и муниципальных образований</t>
  </si>
  <si>
    <t>2 02 16001 10 0000 150</t>
  </si>
  <si>
    <t>Дотации бюджетам сельских  поселений на выравнивание бюджетной обеспеченности</t>
  </si>
  <si>
    <t>2 02 16001 00 0000 150</t>
  </si>
  <si>
    <t>2 02 10000 00 0000 150</t>
  </si>
  <si>
    <t>Дотации бюджетам субъектов Российской Федерации и муниципальных образований</t>
  </si>
  <si>
    <t xml:space="preserve">2 02 00000 00 0000 000 </t>
  </si>
  <si>
    <t>Безвозмездные поступления от других бюджетов бюджетной системы Российской Федерации</t>
  </si>
  <si>
    <t xml:space="preserve">2 00 00000 00 0000 000 </t>
  </si>
  <si>
    <t>Безвозмездные поступления</t>
  </si>
  <si>
    <t>1 17 05050 10 0000 180</t>
  </si>
  <si>
    <t>Прочие неналоговые доходы бюджетов поселения</t>
  </si>
  <si>
    <t>1 17 01050 10 0000 180</t>
  </si>
  <si>
    <t>Невыясненные поступления, зачисляемые в бюджеты поселений</t>
  </si>
  <si>
    <t>1 17 01000 00 0000 180</t>
  </si>
  <si>
    <t>Невыясненные поступления</t>
  </si>
  <si>
    <t>1 16 90050 10 0000 140</t>
  </si>
  <si>
    <t>Прочие поступления от денежных взысканий (штрафов)</t>
  </si>
  <si>
    <t>1 16 90000 00 0000 140</t>
  </si>
  <si>
    <t>Денежные взыскания (штрафы) за нарушение водного законодательства,установленные на водных объектах, находящихся в собственности поселений</t>
  </si>
  <si>
    <t>1 16 51040 02 0000 140</t>
  </si>
  <si>
    <t>1 16 51000 02 0000 140</t>
  </si>
  <si>
    <t>1 16 33050 10 6000 140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</si>
  <si>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</si>
  <si>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1 16 33000 00 0000 140</t>
  </si>
  <si>
    <t>Денежные взыскания (штрафы) за нарушение водного законодательства</t>
  </si>
  <si>
    <t>1 16 23050 10 0000 140</t>
  </si>
  <si>
    <t>Доходы от возмещения ущерба при возникновении страховых случаев. Когда выгодоприобретателями по договорам страхования выступают получатели средств бюджетов поселений</t>
  </si>
  <si>
    <t xml:space="preserve">1 16 23000 00 0000 140 </t>
  </si>
  <si>
    <t>Доходы от возмещения ущерба при возникновении страховых случаев</t>
  </si>
  <si>
    <t xml:space="preserve">1 16 00000 00 0000 000 </t>
  </si>
  <si>
    <t>Штрафы, санкции, возмещение ущерба</t>
  </si>
  <si>
    <t xml:space="preserve">1 14 02053 10 0000 410 </t>
  </si>
  <si>
    <t xml:space="preserve">1 14 02000 00 0000 000 </t>
  </si>
  <si>
    <t xml:space="preserve">1 14 00000 00 0000 000 </t>
  </si>
  <si>
    <t>Доходы от продажи материальных и нематериальных активов</t>
  </si>
  <si>
    <t xml:space="preserve">1 13 02995 10 0000 130 </t>
  </si>
  <si>
    <t>Прочие доходы от компенсации затрат бюджетов поселений</t>
  </si>
  <si>
    <t xml:space="preserve"> 1 13 02000 00 0000 130</t>
  </si>
  <si>
    <t>1 13 00000 00 0000 000</t>
  </si>
  <si>
    <t>Доходы от оказания платных услуг (работ) и компенсации затрат государств</t>
  </si>
  <si>
    <t>1 08 04020 01 4000 110</t>
  </si>
  <si>
    <t>Государственная пошлина за совершение нотариальных действий долностными лицами органов местного самоуправления,уполномоченными в соответствии с законодательными актами Российской Федерации на совершение нотариальных действий</t>
  </si>
  <si>
    <t>1 08 04020 01 2100 110</t>
  </si>
  <si>
    <t>Государственная пошлина за совершение нотариальных действий долностными лицами органов местного самоуправления</t>
  </si>
  <si>
    <t>1 08 04020 01 1000 110</t>
  </si>
  <si>
    <t>1 08 04020 01 0000 110</t>
  </si>
  <si>
    <t>1 08 04000 01 0000 110</t>
  </si>
  <si>
    <t>1 08 00000 00 0000 000</t>
  </si>
  <si>
    <t>Государственная пошлина</t>
  </si>
  <si>
    <t>1 06 06043 10 4000 110</t>
  </si>
  <si>
    <t>Земельный налог с физических лиц, обладающих земельным участком, расположенным в границах сельских поселений  (прочие поступления)</t>
  </si>
  <si>
    <t>1 06 06043 10 3000 110</t>
  </si>
  <si>
    <t>Земельный налог с физических лиц, обладающих земельным участком, расположенным в границах сельских поселений  (суммы денежных взысканий (штрафов) по соответствующему платежу согласно законодательству Российской Федерации)</t>
  </si>
  <si>
    <t>1 06 06043 10 2100 110</t>
  </si>
  <si>
    <t>Земельный налог с физических лиц, обладающих земельным участком, расположенным в границах сельских поселений  (пени по соответствующему платежу)</t>
  </si>
  <si>
    <t>1 06 06043 10 1000 110</t>
  </si>
  <si>
    <t>Земельный налог с физических лиц,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</si>
  <si>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1 06 06043 10 0000 110</t>
  </si>
  <si>
    <t xml:space="preserve">Земельный налог с физических лиц  </t>
  </si>
  <si>
    <t>1 06 06040 00 0000 110</t>
  </si>
  <si>
    <t>1 06 06033 10 4000 110</t>
  </si>
  <si>
    <t>Земельный налог с организаций, обладающих земельным участком, расположенным в границах сельских поселений  (прочие поступления)</t>
  </si>
  <si>
    <t>1 06 06033 10 3000 110</t>
  </si>
  <si>
    <t>Земельный налог с организаций, обладающих земельным участком, расположенным в границах сельских поселений  (суммы денежных взысканий (штрафов) по соответствующему платежу согласно законодательству Российской Федерации)</t>
  </si>
  <si>
    <t>1 06 06033 10 2100 110</t>
  </si>
  <si>
    <t>Земельный налог с организаций, обладающих земельным участком, расположенным в границах  сельских  поселений  (пени по соответствующему платежу)</t>
  </si>
  <si>
    <t>1 06 06033 10 1000 110</t>
  </si>
  <si>
    <t>Земельный налог с организаций,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</si>
  <si>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1 06 06033 10 0000 110</t>
  </si>
  <si>
    <t>1 06 06030 00 0000 110</t>
  </si>
  <si>
    <t>1 06 06000 00 0000 110</t>
  </si>
  <si>
    <t>1 06 01030 10 4000 110</t>
  </si>
  <si>
    <t>1 06 01030 10 2100 110</t>
  </si>
  <si>
    <t>1 06 01030 10 1000 110</t>
  </si>
  <si>
    <t>1 06 01030 10 0000 110</t>
  </si>
  <si>
    <t>1 06 01000 00 0000 110</t>
  </si>
  <si>
    <t>1 06 00000 00 0000 000</t>
  </si>
  <si>
    <t>Налоги на имущество</t>
  </si>
  <si>
    <t>1 05 03020 01 3000 110</t>
  </si>
  <si>
    <t>1 05 03020 01 2100 110</t>
  </si>
  <si>
    <t>1 05 03020 01 1000 110</t>
  </si>
  <si>
    <t>1 05 03020 01 0000 110</t>
  </si>
  <si>
    <t>1 05 03010 01 4000 110</t>
  </si>
  <si>
    <t>1 05 03010 01 3000 110</t>
  </si>
  <si>
    <t>1 05 03010 01 2100 110</t>
  </si>
  <si>
    <t>1 05 03010 01 1000 110</t>
  </si>
  <si>
    <t>1 05 03010 01 0000 110</t>
  </si>
  <si>
    <t>1 05 03000 01 0000 110</t>
  </si>
  <si>
    <t xml:space="preserve">1 05 00000 00 0000 000 </t>
  </si>
  <si>
    <t>Налоги на совокупный доход</t>
  </si>
  <si>
    <t>1 01 02030 01 3000 110</t>
  </si>
  <si>
    <t>1 01 02030 01 2100 110</t>
  </si>
  <si>
    <t>1 01 02030 01 1000 110</t>
  </si>
  <si>
    <t>1 01 02030 01 0000 110</t>
  </si>
  <si>
    <t>1 01 02020 01 3000 110</t>
  </si>
  <si>
    <t>1 01 02020 01 0000 110</t>
  </si>
  <si>
    <t>1 01 02010 01 4000 110</t>
  </si>
  <si>
    <t>1 01 02010 01 3000 110</t>
  </si>
  <si>
    <t>1 01 02010 01 2100 110</t>
  </si>
  <si>
    <t>1 01 02010 01 1000 110</t>
  </si>
  <si>
    <t>1 01 02010 01 0000 110</t>
  </si>
  <si>
    <t>1 01 02000 01 0000 110</t>
  </si>
  <si>
    <t xml:space="preserve">1 01 00000 00 0000 000 </t>
  </si>
  <si>
    <t>Налоги на прибыль, доходы</t>
  </si>
  <si>
    <t xml:space="preserve">1 00 00000 00 0000 000 </t>
  </si>
  <si>
    <t>Собственные доходы</t>
  </si>
  <si>
    <t>итого</t>
  </si>
  <si>
    <t>некассовые
операции</t>
  </si>
  <si>
    <t>через
банковские
счета</t>
  </si>
  <si>
    <t>через финансовые органы</t>
  </si>
  <si>
    <t>Код дохода
по бюджетной классификации</t>
  </si>
  <si>
    <t>Код стро-ки</t>
  </si>
  <si>
    <t>Наименование показателя</t>
  </si>
  <si>
    <t>1. Доходы бюджета</t>
  </si>
  <si>
    <t>Единица измерения:   руб</t>
  </si>
  <si>
    <t>по ОКЕИ</t>
  </si>
  <si>
    <t>Периодичность:       месячная</t>
  </si>
  <si>
    <r>
      <t xml:space="preserve">Наименование бюджета                            </t>
    </r>
    <r>
      <rPr>
        <b/>
        <sz val="8"/>
        <rFont val="Arial"/>
        <family val="2"/>
        <charset val="204"/>
      </rPr>
      <t xml:space="preserve"> Бюджет Калиновского сельского поселения</t>
    </r>
  </si>
  <si>
    <t>Глава по БК</t>
  </si>
  <si>
    <t>администратор источников финансирования дефицита бюджета</t>
  </si>
  <si>
    <t>по ОКПО</t>
  </si>
  <si>
    <t xml:space="preserve">главный администратор, администратор доходов бюджета,главный администратор </t>
  </si>
  <si>
    <t>01.01.2022</t>
  </si>
  <si>
    <t>Дата</t>
  </si>
  <si>
    <t>Главный распорядитель(распорядитель), получатель бюджетных средств,</t>
  </si>
  <si>
    <t>Форма по ОКУД</t>
  </si>
  <si>
    <t>ГЛАВНОГО РАСПОРЯДИТЕЛЯ (РАСПОРЯДИТЕЛЯ),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t>
  </si>
  <si>
    <t>Приложение № 1 к Разъяснениям</t>
  </si>
  <si>
    <t xml:space="preserve">                                (подпись)            (расшифровка)</t>
  </si>
  <si>
    <t>Главный бухгалтер ___________  ___Павлова И.Ю.__</t>
  </si>
  <si>
    <t xml:space="preserve">                          (подпись)   (расшифровка)                                                               (подпись)        (расшифровка)</t>
  </si>
  <si>
    <t>Руководитель ___________ _Морозова С.А._                  Экономическая служба ___________ ___Косых К.Н._</t>
  </si>
  <si>
    <t>Результат исполнения бюджета (дефицит "--", профицит "+")</t>
  </si>
  <si>
    <t>ИТОГО ПО 1101</t>
  </si>
  <si>
    <t>100</t>
  </si>
  <si>
    <t>346</t>
  </si>
  <si>
    <t>ИТОГО ПО 1001</t>
  </si>
  <si>
    <t>264</t>
  </si>
  <si>
    <t>Пенсии, пособия</t>
  </si>
  <si>
    <t>ИТОГО ПО 0801</t>
  </si>
  <si>
    <t>123</t>
  </si>
  <si>
    <t>241</t>
  </si>
  <si>
    <t>Безвозмездные перечисления гос. и мун. организациям "МБУК СДК"</t>
  </si>
  <si>
    <t>951 0801 1010028590 611</t>
  </si>
  <si>
    <t>ИТОГО ПО 0705</t>
  </si>
  <si>
    <t>226</t>
  </si>
  <si>
    <t>ИТОГО ПО 0503</t>
  </si>
  <si>
    <t>225</t>
  </si>
  <si>
    <t>951 0503 0910028210 244</t>
  </si>
  <si>
    <t>223</t>
  </si>
  <si>
    <t>ИТОГО ПО 0502</t>
  </si>
  <si>
    <t>ИТОГО ПО 0412</t>
  </si>
  <si>
    <t>ИТОГО ПО 0409</t>
  </si>
  <si>
    <t>130</t>
  </si>
  <si>
    <t>ИТОГО ПО 0310</t>
  </si>
  <si>
    <t>325</t>
  </si>
  <si>
    <t>310</t>
  </si>
  <si>
    <t>ИТОГО ПО 0203</t>
  </si>
  <si>
    <t>115</t>
  </si>
  <si>
    <t>Увеличение стоимости прочих оборотных запасов (материалов)</t>
  </si>
  <si>
    <t>213</t>
  </si>
  <si>
    <t>211</t>
  </si>
  <si>
    <t>ИТОГО ПО 0113</t>
  </si>
  <si>
    <t>251</t>
  </si>
  <si>
    <t>297</t>
  </si>
  <si>
    <t>291</t>
  </si>
  <si>
    <t>951 0113 9990028600 851</t>
  </si>
  <si>
    <t>951 0113 9990028990 244</t>
  </si>
  <si>
    <t>ИТОГО ПО 0111</t>
  </si>
  <si>
    <t>296</t>
  </si>
  <si>
    <t>ИТОГО ПО 0107</t>
  </si>
  <si>
    <t>516300,00</t>
  </si>
  <si>
    <t>Прочие расходы</t>
  </si>
  <si>
    <t>ИТОГО ПО 0106</t>
  </si>
  <si>
    <t xml:space="preserve">ИТОГО ПО АППАРАТУ </t>
  </si>
  <si>
    <t>Внутренний мун. контроль</t>
  </si>
  <si>
    <t>308</t>
  </si>
  <si>
    <t>Увеличение стоимости основных средств</t>
  </si>
  <si>
    <t>Медецинский осмотр</t>
  </si>
  <si>
    <t xml:space="preserve">951 0104 1310000190 852 </t>
  </si>
  <si>
    <t>343</t>
  </si>
  <si>
    <t>Увеличение стоимости горюче-смазочных материалов</t>
  </si>
  <si>
    <t>221</t>
  </si>
  <si>
    <t>Услуги связи</t>
  </si>
  <si>
    <t>Начисления на выплаты по оплате труда</t>
  </si>
  <si>
    <t>212</t>
  </si>
  <si>
    <t>Прочие выплаты</t>
  </si>
  <si>
    <t>i5_90401061220000110000</t>
  </si>
  <si>
    <t>Заработная плата</t>
  </si>
  <si>
    <t>i2_90401000000000000000</t>
  </si>
  <si>
    <t>i1_90400000000000000000</t>
  </si>
  <si>
    <t>х</t>
  </si>
  <si>
    <t>13</t>
  </si>
  <si>
    <t>12</t>
  </si>
  <si>
    <t>11</t>
  </si>
  <si>
    <t>10</t>
  </si>
  <si>
    <t>9</t>
  </si>
  <si>
    <t>8</t>
  </si>
  <si>
    <t>7</t>
  </si>
  <si>
    <t>ки</t>
  </si>
  <si>
    <t>по лимитам бюджетных обязательств</t>
  </si>
  <si>
    <t>по ассиг-
нованиям</t>
  </si>
  <si>
    <t>некассо-
вые операции</t>
  </si>
  <si>
    <t>через банковские счета</t>
  </si>
  <si>
    <t>стро-</t>
  </si>
  <si>
    <t>Код</t>
  </si>
  <si>
    <t xml:space="preserve">         Исполнено</t>
  </si>
  <si>
    <t>Лимиты бюджетных обязательств</t>
  </si>
  <si>
    <t>Дополнительный функциональный код</t>
  </si>
  <si>
    <t>Код КОСГУ</t>
  </si>
  <si>
    <t xml:space="preserve">Код расхода по бюджетной классификации
</t>
  </si>
  <si>
    <t>6140014935</t>
  </si>
  <si>
    <t xml:space="preserve">Единица измерения:  руб </t>
  </si>
  <si>
    <t>Периодичность:     месячная</t>
  </si>
  <si>
    <t>Бюджет Калиновского сельского поселения</t>
  </si>
  <si>
    <t>финансирования дефицита бюджета</t>
  </si>
  <si>
    <t>01.08.2018</t>
  </si>
  <si>
    <t xml:space="preserve">Администрация Калиновского сельского поселения 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</si>
  <si>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</si>
  <si>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за декабрь</t>
  </si>
  <si>
    <t>Козлов Артем Сергеевич</t>
  </si>
  <si>
    <t xml:space="preserve">                  Информация об исполнении  расходной части  бюджета Калиновского сельского поселения</t>
  </si>
  <si>
    <t>Приложение к Приказу Райфинуправления от 09.08.2018 №_____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</si>
</sst>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48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b/>
      <u/>
      <sz val="8"/>
      <name val="Arial"/>
      <family val="2"/>
      <charset val="204"/>
    </font>
    <font>
      <b/>
      <u/>
      <sz val="12"/>
      <name val="Arial"/>
      <family val="2"/>
      <charset val="204"/>
    </font>
    <font>
      <b/>
      <i/>
      <u/>
      <sz val="8"/>
      <name val="Arial"/>
      <family val="2"/>
      <charset val="204"/>
    </font>
    <font>
      <b/>
      <i/>
      <u/>
      <sz val="10"/>
      <name val="Arial"/>
      <family val="2"/>
      <charset val="204"/>
    </font>
    <font>
      <b/>
      <u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u/>
      <sz val="8"/>
      <name val="Arial"/>
      <family val="2"/>
      <charset val="204"/>
    </font>
    <font>
      <u/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9"/>
      <color rgb="FFFF000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9" fillId="0" borderId="0"/>
    <xf numFmtId="0" fontId="26" fillId="0" borderId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6" borderId="0" applyNumberFormat="0" applyBorder="0" applyAlignment="0" applyProtection="0"/>
    <xf numFmtId="0" fontId="33" fillId="14" borderId="131" applyNumberFormat="0" applyAlignment="0" applyProtection="0"/>
    <xf numFmtId="0" fontId="34" fillId="27" borderId="132" applyNumberFormat="0" applyAlignment="0" applyProtection="0"/>
    <xf numFmtId="0" fontId="35" fillId="27" borderId="131" applyNumberFormat="0" applyAlignment="0" applyProtection="0"/>
    <xf numFmtId="0" fontId="36" fillId="0" borderId="133" applyNumberFormat="0" applyFill="0" applyAlignment="0" applyProtection="0"/>
    <xf numFmtId="0" fontId="37" fillId="0" borderId="134" applyNumberFormat="0" applyFill="0" applyAlignment="0" applyProtection="0"/>
    <xf numFmtId="0" fontId="38" fillId="0" borderId="13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36" applyNumberFormat="0" applyFill="0" applyAlignment="0" applyProtection="0"/>
    <xf numFmtId="0" fontId="40" fillId="28" borderId="137" applyNumberFormat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26" fillId="0" borderId="0"/>
    <xf numFmtId="0" fontId="43" fillId="10" borderId="0" applyNumberFormat="0" applyBorder="0" applyAlignment="0" applyProtection="0"/>
    <xf numFmtId="0" fontId="44" fillId="0" borderId="0" applyNumberFormat="0" applyFill="0" applyBorder="0" applyAlignment="0" applyProtection="0"/>
    <xf numFmtId="0" fontId="26" fillId="30" borderId="138" applyNumberFormat="0" applyFont="0" applyAlignment="0" applyProtection="0"/>
    <xf numFmtId="0" fontId="45" fillId="0" borderId="139" applyNumberFormat="0" applyFill="0" applyAlignment="0" applyProtection="0"/>
    <xf numFmtId="0" fontId="46" fillId="0" borderId="0" applyNumberFormat="0" applyFill="0" applyBorder="0" applyAlignment="0" applyProtection="0"/>
    <xf numFmtId="0" fontId="47" fillId="11" borderId="0" applyNumberFormat="0" applyBorder="0" applyAlignment="0" applyProtection="0"/>
  </cellStyleXfs>
  <cellXfs count="507">
    <xf numFmtId="0" fontId="0" fillId="0" borderId="0" xfId="0"/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" fontId="2" fillId="0" borderId="19" xfId="0" applyNumberFormat="1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" fontId="2" fillId="0" borderId="11" xfId="0" applyNumberFormat="1" applyFont="1" applyBorder="1" applyAlignment="1" applyProtection="1">
      <alignment horizontal="right"/>
    </xf>
    <xf numFmtId="4" fontId="2" fillId="0" borderId="12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4" xfId="0" applyNumberFormat="1" applyFont="1" applyBorder="1" applyAlignment="1" applyProtection="1">
      <alignment horizontal="center" vertical="center"/>
    </xf>
    <xf numFmtId="49" fontId="4" fillId="0" borderId="25" xfId="0" applyNumberFormat="1" applyFont="1" applyBorder="1" applyAlignment="1" applyProtection="1">
      <alignment horizontal="left" wrapText="1"/>
    </xf>
    <xf numFmtId="4" fontId="4" fillId="0" borderId="11" xfId="0" applyNumberFormat="1" applyFont="1" applyBorder="1" applyAlignment="1" applyProtection="1">
      <alignment horizontal="right"/>
    </xf>
    <xf numFmtId="4" fontId="4" fillId="0" borderId="12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33" xfId="0" applyNumberFormat="1" applyFont="1" applyBorder="1" applyAlignment="1" applyProtection="1">
      <alignment horizontal="left" wrapText="1"/>
    </xf>
    <xf numFmtId="49" fontId="4" fillId="0" borderId="17" xfId="0" applyNumberFormat="1" applyFont="1" applyBorder="1" applyAlignment="1" applyProtection="1">
      <alignment horizontal="center" wrapText="1"/>
    </xf>
    <xf numFmtId="49" fontId="4" fillId="0" borderId="19" xfId="0" applyNumberFormat="1" applyFont="1" applyBorder="1" applyAlignment="1" applyProtection="1">
      <alignment horizontal="center" wrapText="1"/>
    </xf>
    <xf numFmtId="4" fontId="4" fillId="0" borderId="19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0" fontId="2" fillId="0" borderId="34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4" fillId="0" borderId="10" xfId="0" applyNumberFormat="1" applyFont="1" applyBorder="1" applyAlignment="1" applyProtection="1">
      <alignment horizontal="center" wrapText="1"/>
    </xf>
    <xf numFmtId="49" fontId="4" fillId="0" borderId="11" xfId="0" applyNumberFormat="1" applyFont="1" applyBorder="1" applyAlignment="1" applyProtection="1">
      <alignment horizontal="center" wrapText="1"/>
    </xf>
    <xf numFmtId="49" fontId="2" fillId="0" borderId="11" xfId="0" applyNumberFormat="1" applyFont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wrapText="1"/>
    </xf>
    <xf numFmtId="0" fontId="3" fillId="0" borderId="27" xfId="0" applyFont="1" applyBorder="1" applyAlignment="1" applyProtection="1">
      <alignment horizontal="left"/>
    </xf>
    <xf numFmtId="0" fontId="3" fillId="0" borderId="28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left"/>
    </xf>
    <xf numFmtId="49" fontId="3" fillId="0" borderId="28" xfId="0" applyNumberFormat="1" applyFont="1" applyBorder="1" applyAlignment="1" applyProtection="1"/>
    <xf numFmtId="0" fontId="3" fillId="0" borderId="28" xfId="0" applyFont="1" applyBorder="1" applyAlignment="1" applyProtection="1"/>
    <xf numFmtId="4" fontId="2" fillId="2" borderId="19" xfId="0" applyNumberFormat="1" applyFont="1" applyFill="1" applyBorder="1" applyAlignment="1" applyProtection="1">
      <alignment horizontal="right"/>
    </xf>
    <xf numFmtId="4" fontId="4" fillId="2" borderId="19" xfId="0" applyNumberFormat="1" applyFont="1" applyFill="1" applyBorder="1" applyAlignment="1" applyProtection="1">
      <alignment horizontal="right"/>
    </xf>
    <xf numFmtId="0" fontId="8" fillId="0" borderId="0" xfId="0" applyFont="1"/>
    <xf numFmtId="0" fontId="0" fillId="0" borderId="2" xfId="0" applyBorder="1"/>
    <xf numFmtId="4" fontId="6" fillId="2" borderId="19" xfId="0" applyNumberFormat="1" applyFont="1" applyFill="1" applyBorder="1" applyAlignment="1" applyProtection="1">
      <alignment horizontal="right"/>
    </xf>
    <xf numFmtId="0" fontId="7" fillId="0" borderId="0" xfId="1" applyFont="1"/>
    <xf numFmtId="0" fontId="11" fillId="0" borderId="0" xfId="1" applyFont="1" applyFill="1"/>
    <xf numFmtId="0" fontId="13" fillId="3" borderId="0" xfId="1" applyFont="1" applyFill="1"/>
    <xf numFmtId="0" fontId="13" fillId="4" borderId="0" xfId="1" applyFont="1" applyFill="1"/>
    <xf numFmtId="0" fontId="13" fillId="0" borderId="0" xfId="1" applyFont="1" applyFill="1"/>
    <xf numFmtId="0" fontId="11" fillId="5" borderId="0" xfId="1" applyFont="1" applyFill="1"/>
    <xf numFmtId="0" fontId="11" fillId="6" borderId="0" xfId="1" applyFont="1" applyFill="1"/>
    <xf numFmtId="0" fontId="11" fillId="0" borderId="0" xfId="1" applyFont="1" applyFill="1" applyBorder="1"/>
    <xf numFmtId="0" fontId="11" fillId="0" borderId="18" xfId="1" applyFont="1" applyFill="1" applyBorder="1"/>
    <xf numFmtId="0" fontId="18" fillId="0" borderId="0" xfId="1" applyFont="1"/>
    <xf numFmtId="0" fontId="18" fillId="0" borderId="0" xfId="1" applyFont="1" applyFill="1"/>
    <xf numFmtId="0" fontId="7" fillId="0" borderId="0" xfId="1" applyFont="1" applyFill="1"/>
    <xf numFmtId="0" fontId="20" fillId="0" borderId="0" xfId="1" applyFont="1"/>
    <xf numFmtId="0" fontId="7" fillId="0" borderId="100" xfId="1" applyFont="1" applyFill="1" applyBorder="1"/>
    <xf numFmtId="0" fontId="20" fillId="0" borderId="0" xfId="1" applyFont="1" applyFill="1"/>
    <xf numFmtId="0" fontId="22" fillId="5" borderId="0" xfId="1" applyFont="1" applyFill="1"/>
    <xf numFmtId="0" fontId="22" fillId="6" borderId="0" xfId="1" applyFont="1" applyFill="1"/>
    <xf numFmtId="0" fontId="7" fillId="0" borderId="64" xfId="1" applyFont="1" applyBorder="1" applyAlignment="1">
      <alignment horizontal="center"/>
    </xf>
    <xf numFmtId="0" fontId="7" fillId="0" borderId="42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7" fillId="0" borderId="0" xfId="1" applyFont="1" applyFill="1" applyBorder="1" applyAlignment="1"/>
    <xf numFmtId="0" fontId="18" fillId="0" borderId="0" xfId="1" applyFont="1" applyFill="1" applyBorder="1" applyAlignment="1"/>
    <xf numFmtId="0" fontId="7" fillId="0" borderId="0" xfId="1" applyFont="1" applyAlignment="1"/>
    <xf numFmtId="0" fontId="7" fillId="0" borderId="0" xfId="1" applyFont="1" applyBorder="1" applyAlignment="1"/>
    <xf numFmtId="0" fontId="17" fillId="0" borderId="0" xfId="1" applyFont="1" applyBorder="1" applyAlignment="1">
      <alignment wrapText="1"/>
    </xf>
    <xf numFmtId="0" fontId="26" fillId="0" borderId="0" xfId="2" applyProtection="1"/>
    <xf numFmtId="49" fontId="26" fillId="0" borderId="0" xfId="2" applyNumberFormat="1" applyAlignment="1" applyProtection="1">
      <alignment horizontal="center" wrapText="1"/>
    </xf>
    <xf numFmtId="0" fontId="26" fillId="0" borderId="0" xfId="2" applyFill="1" applyProtection="1"/>
    <xf numFmtId="49" fontId="26" fillId="0" borderId="0" xfId="2" applyNumberFormat="1" applyProtection="1"/>
    <xf numFmtId="49" fontId="26" fillId="0" borderId="0" xfId="2" applyNumberFormat="1" applyFill="1" applyProtection="1"/>
    <xf numFmtId="0" fontId="26" fillId="0" borderId="0" xfId="2" applyAlignment="1" applyProtection="1">
      <alignment horizontal="left"/>
    </xf>
    <xf numFmtId="2" fontId="26" fillId="0" borderId="0" xfId="2" applyNumberFormat="1" applyProtection="1"/>
    <xf numFmtId="2" fontId="26" fillId="0" borderId="0" xfId="2" applyNumberFormat="1" applyFill="1" applyProtection="1"/>
    <xf numFmtId="0" fontId="27" fillId="0" borderId="0" xfId="2" applyFont="1" applyProtection="1"/>
    <xf numFmtId="49" fontId="27" fillId="0" borderId="0" xfId="2" applyNumberFormat="1" applyFont="1" applyProtection="1"/>
    <xf numFmtId="49" fontId="27" fillId="0" borderId="0" xfId="2" applyNumberFormat="1" applyFont="1" applyFill="1" applyProtection="1"/>
    <xf numFmtId="2" fontId="27" fillId="0" borderId="0" xfId="2" applyNumberFormat="1" applyFont="1" applyProtection="1"/>
    <xf numFmtId="0" fontId="27" fillId="0" borderId="0" xfId="2" applyFont="1" applyAlignment="1" applyProtection="1">
      <alignment horizontal="left"/>
    </xf>
    <xf numFmtId="0" fontId="27" fillId="0" borderId="0" xfId="2" applyFont="1" applyBorder="1" applyProtection="1"/>
    <xf numFmtId="0" fontId="26" fillId="0" borderId="0" xfId="2" applyAlignment="1" applyProtection="1"/>
    <xf numFmtId="49" fontId="26" fillId="8" borderId="0" xfId="2" applyNumberFormat="1" applyFill="1" applyAlignment="1" applyProtection="1">
      <alignment horizontal="center" wrapText="1"/>
    </xf>
    <xf numFmtId="164" fontId="6" fillId="0" borderId="0" xfId="2" applyNumberFormat="1" applyFont="1" applyFill="1" applyBorder="1" applyAlignment="1" applyProtection="1">
      <alignment horizontal="right"/>
    </xf>
    <xf numFmtId="164" fontId="27" fillId="2" borderId="19" xfId="2" applyNumberFormat="1" applyFont="1" applyFill="1" applyBorder="1" applyAlignment="1" applyProtection="1">
      <alignment horizontal="right"/>
    </xf>
    <xf numFmtId="164" fontId="27" fillId="2" borderId="19" xfId="2" applyNumberFormat="1" applyFont="1" applyFill="1" applyBorder="1" applyAlignment="1" applyProtection="1">
      <alignment horizontal="center"/>
    </xf>
    <xf numFmtId="2" fontId="27" fillId="2" borderId="19" xfId="2" applyNumberFormat="1" applyFont="1" applyFill="1" applyBorder="1" applyAlignment="1" applyProtection="1">
      <alignment horizontal="right"/>
    </xf>
    <xf numFmtId="2" fontId="27" fillId="2" borderId="18" xfId="2" applyNumberFormat="1" applyFont="1" applyFill="1" applyBorder="1" applyAlignment="1" applyProtection="1">
      <alignment horizontal="right"/>
    </xf>
    <xf numFmtId="2" fontId="27" fillId="2" borderId="20" xfId="2" applyNumberFormat="1" applyFont="1" applyFill="1" applyBorder="1" applyAlignment="1" applyProtection="1">
      <alignment horizontal="right"/>
    </xf>
    <xf numFmtId="2" fontId="27" fillId="2" borderId="3" xfId="2" applyNumberFormat="1" applyFont="1" applyFill="1" applyBorder="1" applyAlignment="1" applyProtection="1">
      <alignment horizontal="right"/>
    </xf>
    <xf numFmtId="49" fontId="27" fillId="2" borderId="19" xfId="2" applyNumberFormat="1" applyFont="1" applyFill="1" applyBorder="1" applyAlignment="1" applyProtection="1">
      <alignment horizontal="center" wrapText="1"/>
    </xf>
    <xf numFmtId="49" fontId="27" fillId="2" borderId="18" xfId="2" applyNumberFormat="1" applyFont="1" applyFill="1" applyBorder="1" applyAlignment="1" applyProtection="1">
      <alignment horizontal="center" wrapText="1"/>
    </xf>
    <xf numFmtId="0" fontId="27" fillId="2" borderId="19" xfId="2" applyNumberFormat="1" applyFont="1" applyFill="1" applyBorder="1" applyAlignment="1" applyProtection="1">
      <alignment horizontal="left" wrapText="1"/>
    </xf>
    <xf numFmtId="0" fontId="28" fillId="0" borderId="0" xfId="2" applyFont="1" applyAlignment="1" applyProtection="1"/>
    <xf numFmtId="49" fontId="28" fillId="8" borderId="0" xfId="2" applyNumberFormat="1" applyFont="1" applyFill="1" applyAlignment="1" applyProtection="1">
      <alignment horizontal="center" wrapText="1"/>
    </xf>
    <xf numFmtId="164" fontId="5" fillId="0" borderId="0" xfId="2" applyNumberFormat="1" applyFont="1" applyFill="1" applyBorder="1" applyAlignment="1" applyProtection="1">
      <alignment horizontal="right"/>
    </xf>
    <xf numFmtId="164" fontId="29" fillId="2" borderId="19" xfId="2" applyNumberFormat="1" applyFont="1" applyFill="1" applyBorder="1" applyAlignment="1" applyProtection="1">
      <alignment horizontal="right"/>
    </xf>
    <xf numFmtId="164" fontId="29" fillId="2" borderId="19" xfId="2" applyNumberFormat="1" applyFont="1" applyFill="1" applyBorder="1" applyAlignment="1" applyProtection="1">
      <alignment horizontal="center"/>
    </xf>
    <xf numFmtId="2" fontId="29" fillId="2" borderId="19" xfId="2" applyNumberFormat="1" applyFont="1" applyFill="1" applyBorder="1" applyAlignment="1" applyProtection="1">
      <alignment horizontal="right"/>
    </xf>
    <xf numFmtId="2" fontId="29" fillId="2" borderId="18" xfId="2" applyNumberFormat="1" applyFont="1" applyFill="1" applyBorder="1" applyAlignment="1" applyProtection="1">
      <alignment horizontal="right"/>
    </xf>
    <xf numFmtId="49" fontId="29" fillId="2" borderId="19" xfId="2" applyNumberFormat="1" applyFont="1" applyFill="1" applyBorder="1" applyAlignment="1" applyProtection="1">
      <alignment horizontal="center" wrapText="1"/>
    </xf>
    <xf numFmtId="49" fontId="29" fillId="2" borderId="18" xfId="2" applyNumberFormat="1" applyFont="1" applyFill="1" applyBorder="1" applyAlignment="1" applyProtection="1">
      <alignment horizontal="center" wrapText="1"/>
    </xf>
    <xf numFmtId="0" fontId="29" fillId="2" borderId="19" xfId="2" applyNumberFormat="1" applyFont="1" applyFill="1" applyBorder="1" applyAlignment="1" applyProtection="1">
      <alignment horizontal="left" wrapText="1"/>
    </xf>
    <xf numFmtId="0" fontId="26" fillId="0" borderId="0" xfId="2" applyFont="1" applyAlignment="1" applyProtection="1"/>
    <xf numFmtId="49" fontId="26" fillId="8" borderId="0" xfId="2" applyNumberFormat="1" applyFont="1" applyFill="1" applyAlignment="1" applyProtection="1">
      <alignment horizontal="center" wrapText="1"/>
    </xf>
    <xf numFmtId="49" fontId="30" fillId="2" borderId="19" xfId="2" applyNumberFormat="1" applyFont="1" applyFill="1" applyBorder="1" applyAlignment="1" applyProtection="1">
      <alignment horizontal="center" wrapText="1"/>
    </xf>
    <xf numFmtId="2" fontId="29" fillId="2" borderId="20" xfId="2" applyNumberFormat="1" applyFont="1" applyFill="1" applyBorder="1" applyAlignment="1" applyProtection="1">
      <alignment horizontal="right"/>
    </xf>
    <xf numFmtId="2" fontId="29" fillId="2" borderId="3" xfId="2" applyNumberFormat="1" applyFont="1" applyFill="1" applyBorder="1" applyAlignment="1" applyProtection="1">
      <alignment horizontal="right"/>
    </xf>
    <xf numFmtId="0" fontId="26" fillId="2" borderId="0" xfId="2" applyFill="1" applyAlignment="1" applyProtection="1"/>
    <xf numFmtId="49" fontId="26" fillId="2" borderId="0" xfId="2" applyNumberFormat="1" applyFill="1" applyAlignment="1" applyProtection="1">
      <alignment horizontal="center" wrapText="1"/>
    </xf>
    <xf numFmtId="164" fontId="6" fillId="2" borderId="0" xfId="2" applyNumberFormat="1" applyFont="1" applyFill="1" applyBorder="1" applyAlignment="1" applyProtection="1">
      <alignment horizontal="right"/>
    </xf>
    <xf numFmtId="164" fontId="29" fillId="2" borderId="19" xfId="2" applyNumberFormat="1" applyFont="1" applyFill="1" applyBorder="1" applyAlignment="1" applyProtection="1">
      <alignment horizontal="left"/>
    </xf>
    <xf numFmtId="49" fontId="29" fillId="2" borderId="19" xfId="2" applyNumberFormat="1" applyFont="1" applyFill="1" applyBorder="1" applyAlignment="1" applyProtection="1">
      <alignment horizontal="left" wrapText="1"/>
    </xf>
    <xf numFmtId="49" fontId="29" fillId="2" borderId="18" xfId="2" applyNumberFormat="1" applyFont="1" applyFill="1" applyBorder="1" applyAlignment="1" applyProtection="1">
      <alignment horizontal="left" wrapText="1"/>
    </xf>
    <xf numFmtId="49" fontId="27" fillId="2" borderId="18" xfId="2" applyNumberFormat="1" applyFont="1" applyFill="1" applyBorder="1" applyAlignment="1" applyProtection="1">
      <alignment horizontal="right"/>
    </xf>
    <xf numFmtId="164" fontId="27" fillId="2" borderId="19" xfId="2" applyNumberFormat="1" applyFont="1" applyFill="1" applyBorder="1" applyAlignment="1" applyProtection="1">
      <alignment horizontal="left"/>
    </xf>
    <xf numFmtId="49" fontId="27" fillId="2" borderId="19" xfId="2" applyNumberFormat="1" applyFont="1" applyFill="1" applyBorder="1" applyAlignment="1" applyProtection="1">
      <alignment horizontal="left" wrapText="1"/>
    </xf>
    <xf numFmtId="164" fontId="27" fillId="2" borderId="19" xfId="2" applyNumberFormat="1" applyFont="1" applyFill="1" applyBorder="1" applyAlignment="1" applyProtection="1"/>
    <xf numFmtId="0" fontId="27" fillId="2" borderId="19" xfId="2" applyFont="1" applyFill="1" applyBorder="1" applyAlignment="1" applyProtection="1">
      <alignment horizontal="left" wrapText="1"/>
    </xf>
    <xf numFmtId="164" fontId="6" fillId="0" borderId="0" xfId="2" applyNumberFormat="1" applyFont="1" applyFill="1" applyBorder="1" applyAlignment="1" applyProtection="1">
      <alignment horizontal="right" vertical="center"/>
    </xf>
    <xf numFmtId="2" fontId="27" fillId="2" borderId="19" xfId="2" applyNumberFormat="1" applyFont="1" applyFill="1" applyBorder="1" applyAlignment="1" applyProtection="1">
      <alignment horizontal="right" vertical="center"/>
    </xf>
    <xf numFmtId="49" fontId="6" fillId="0" borderId="0" xfId="2" applyNumberFormat="1" applyFont="1" applyFill="1" applyBorder="1" applyAlignment="1" applyProtection="1">
      <alignment horizontal="center" vertical="center"/>
    </xf>
    <xf numFmtId="49" fontId="27" fillId="0" borderId="19" xfId="2" applyNumberFormat="1" applyFont="1" applyBorder="1" applyAlignment="1" applyProtection="1">
      <alignment horizontal="center" vertical="center"/>
    </xf>
    <xf numFmtId="49" fontId="27" fillId="0" borderId="22" xfId="2" applyNumberFormat="1" applyFont="1" applyBorder="1" applyAlignment="1" applyProtection="1">
      <alignment horizontal="center" vertical="center"/>
    </xf>
    <xf numFmtId="0" fontId="27" fillId="0" borderId="27" xfId="2" applyFont="1" applyBorder="1" applyAlignment="1" applyProtection="1">
      <alignment horizontal="center" vertical="center"/>
    </xf>
    <xf numFmtId="0" fontId="27" fillId="0" borderId="23" xfId="2" applyFont="1" applyBorder="1" applyAlignment="1" applyProtection="1">
      <alignment horizontal="center" vertical="center"/>
    </xf>
    <xf numFmtId="0" fontId="27" fillId="0" borderId="22" xfId="2" applyFont="1" applyBorder="1" applyAlignment="1" applyProtection="1">
      <alignment horizontal="center" vertical="center"/>
    </xf>
    <xf numFmtId="0" fontId="27" fillId="0" borderId="19" xfId="2" applyFont="1" applyBorder="1" applyAlignment="1" applyProtection="1">
      <alignment horizontal="center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27" fillId="0" borderId="35" xfId="2" applyFont="1" applyBorder="1" applyAlignment="1" applyProtection="1">
      <alignment horizontal="center"/>
    </xf>
    <xf numFmtId="0" fontId="27" fillId="0" borderId="8" xfId="2" applyFont="1" applyBorder="1" applyAlignment="1" applyProtection="1">
      <alignment horizontal="left"/>
    </xf>
    <xf numFmtId="0" fontId="27" fillId="0" borderId="8" xfId="2" applyFont="1" applyBorder="1" applyAlignment="1" applyProtection="1">
      <alignment horizontal="center"/>
    </xf>
    <xf numFmtId="0" fontId="27" fillId="0" borderId="23" xfId="2" applyFont="1" applyBorder="1" applyAlignment="1" applyProtection="1">
      <alignment horizontal="left"/>
    </xf>
    <xf numFmtId="49" fontId="6" fillId="0" borderId="0" xfId="2" applyNumberFormat="1" applyFont="1" applyFill="1" applyAlignment="1" applyProtection="1"/>
    <xf numFmtId="49" fontId="27" fillId="0" borderId="0" xfId="2" applyNumberFormat="1" applyFont="1" applyAlignment="1" applyProtection="1"/>
    <xf numFmtId="49" fontId="27" fillId="0" borderId="0" xfId="2" applyNumberFormat="1" applyFont="1" applyBorder="1" applyProtection="1"/>
    <xf numFmtId="49" fontId="27" fillId="0" borderId="2" xfId="2" applyNumberFormat="1" applyFont="1" applyBorder="1" applyProtection="1"/>
    <xf numFmtId="49" fontId="27" fillId="0" borderId="2" xfId="2" applyNumberFormat="1" applyFont="1" applyFill="1" applyBorder="1" applyProtection="1"/>
    <xf numFmtId="0" fontId="27" fillId="0" borderId="2" xfId="2" applyFont="1" applyBorder="1" applyAlignment="1" applyProtection="1"/>
    <xf numFmtId="0" fontId="27" fillId="0" borderId="2" xfId="2" applyFont="1" applyBorder="1" applyAlignment="1" applyProtection="1">
      <alignment horizontal="left"/>
    </xf>
    <xf numFmtId="49" fontId="6" fillId="0" borderId="0" xfId="2" applyNumberFormat="1" applyFont="1" applyFill="1" applyBorder="1" applyAlignment="1" applyProtection="1">
      <alignment horizontal="center"/>
    </xf>
    <xf numFmtId="0" fontId="27" fillId="0" borderId="0" xfId="2" applyFont="1" applyFill="1" applyAlignment="1" applyProtection="1">
      <alignment horizontal="right"/>
    </xf>
    <xf numFmtId="49" fontId="6" fillId="0" borderId="0" xfId="2" applyNumberFormat="1" applyFont="1" applyFill="1" applyBorder="1" applyAlignment="1" applyProtection="1">
      <alignment horizontal="center"/>
      <protection locked="0"/>
    </xf>
    <xf numFmtId="0" fontId="27" fillId="0" borderId="0" xfId="2" applyFont="1" applyBorder="1" applyAlignment="1" applyProtection="1">
      <alignment horizontal="centerContinuous"/>
    </xf>
    <xf numFmtId="49" fontId="27" fillId="0" borderId="0" xfId="2" applyNumberFormat="1" applyFont="1" applyFill="1" applyBorder="1" applyProtection="1"/>
    <xf numFmtId="0" fontId="27" fillId="0" borderId="0" xfId="2" applyNumberFormat="1" applyFont="1" applyBorder="1" applyAlignment="1" applyProtection="1">
      <alignment horizontal="center"/>
      <protection locked="0"/>
    </xf>
    <xf numFmtId="49" fontId="27" fillId="0" borderId="0" xfId="2" applyNumberFormat="1" applyFont="1" applyBorder="1" applyAlignment="1" applyProtection="1"/>
    <xf numFmtId="0" fontId="27" fillId="0" borderId="0" xfId="2" applyFont="1" applyAlignment="1" applyProtection="1">
      <alignment horizontal="right"/>
    </xf>
    <xf numFmtId="0" fontId="27" fillId="0" borderId="0" xfId="2" applyFont="1" applyAlignment="1" applyProtection="1">
      <alignment horizontal="centerContinuous"/>
    </xf>
    <xf numFmtId="0" fontId="27" fillId="0" borderId="0" xfId="2" applyNumberFormat="1" applyFont="1" applyBorder="1" applyAlignment="1" applyProtection="1">
      <protection locked="0"/>
    </xf>
    <xf numFmtId="14" fontId="27" fillId="0" borderId="0" xfId="2" applyNumberFormat="1" applyFont="1" applyBorder="1" applyAlignment="1" applyProtection="1">
      <protection locked="0"/>
    </xf>
    <xf numFmtId="49" fontId="27" fillId="0" borderId="0" xfId="2" applyNumberFormat="1" applyFont="1" applyFill="1" applyAlignment="1" applyProtection="1">
      <alignment horizontal="right"/>
    </xf>
    <xf numFmtId="4" fontId="8" fillId="0" borderId="66" xfId="1" applyNumberFormat="1" applyFont="1" applyFill="1" applyBorder="1" applyAlignment="1">
      <alignment horizontal="center"/>
    </xf>
    <xf numFmtId="4" fontId="8" fillId="0" borderId="65" xfId="1" applyNumberFormat="1" applyFont="1" applyFill="1" applyBorder="1" applyAlignment="1">
      <alignment horizontal="center"/>
    </xf>
    <xf numFmtId="4" fontId="8" fillId="0" borderId="67" xfId="1" applyNumberFormat="1" applyFont="1" applyFill="1" applyBorder="1" applyAlignment="1">
      <alignment horizontal="center"/>
    </xf>
    <xf numFmtId="0" fontId="8" fillId="0" borderId="65" xfId="1" applyFont="1" applyFill="1" applyBorder="1" applyAlignment="1">
      <alignment horizontal="left" wrapText="1"/>
    </xf>
    <xf numFmtId="0" fontId="8" fillId="0" borderId="69" xfId="1" applyFont="1" applyFill="1" applyBorder="1" applyAlignment="1">
      <alignment horizontal="left" wrapText="1"/>
    </xf>
    <xf numFmtId="49" fontId="15" fillId="0" borderId="68" xfId="1" applyNumberFormat="1" applyFont="1" applyFill="1" applyBorder="1" applyAlignment="1">
      <alignment horizontal="center"/>
    </xf>
    <xf numFmtId="49" fontId="15" fillId="0" borderId="65" xfId="1" applyNumberFormat="1" applyFont="1" applyFill="1" applyBorder="1" applyAlignment="1">
      <alignment horizontal="center"/>
    </xf>
    <xf numFmtId="49" fontId="15" fillId="0" borderId="67" xfId="1" applyNumberFormat="1" applyFont="1" applyFill="1" applyBorder="1" applyAlignment="1">
      <alignment horizontal="center"/>
    </xf>
    <xf numFmtId="49" fontId="8" fillId="0" borderId="66" xfId="1" applyNumberFormat="1" applyFont="1" applyFill="1" applyBorder="1" applyAlignment="1">
      <alignment horizontal="center"/>
    </xf>
    <xf numFmtId="49" fontId="8" fillId="0" borderId="65" xfId="1" applyNumberFormat="1" applyFont="1" applyFill="1" applyBorder="1" applyAlignment="1">
      <alignment horizontal="center"/>
    </xf>
    <xf numFmtId="49" fontId="8" fillId="0" borderId="67" xfId="1" applyNumberFormat="1" applyFont="1" applyFill="1" applyBorder="1" applyAlignment="1">
      <alignment horizontal="center"/>
    </xf>
    <xf numFmtId="49" fontId="17" fillId="0" borderId="66" xfId="1" applyNumberFormat="1" applyFont="1" applyFill="1" applyBorder="1" applyAlignment="1">
      <alignment horizontal="center"/>
    </xf>
    <xf numFmtId="49" fontId="17" fillId="0" borderId="65" xfId="1" applyNumberFormat="1" applyFont="1" applyFill="1" applyBorder="1" applyAlignment="1">
      <alignment horizontal="center"/>
    </xf>
    <xf numFmtId="49" fontId="17" fillId="0" borderId="67" xfId="1" applyNumberFormat="1" applyFont="1" applyFill="1" applyBorder="1" applyAlignment="1">
      <alignment horizontal="center"/>
    </xf>
    <xf numFmtId="4" fontId="17" fillId="0" borderId="66" xfId="1" applyNumberFormat="1" applyFont="1" applyFill="1" applyBorder="1" applyAlignment="1">
      <alignment horizontal="center"/>
    </xf>
    <xf numFmtId="4" fontId="17" fillId="0" borderId="65" xfId="1" applyNumberFormat="1" applyFont="1" applyFill="1" applyBorder="1" applyAlignment="1">
      <alignment horizontal="center"/>
    </xf>
    <xf numFmtId="4" fontId="17" fillId="0" borderId="67" xfId="1" applyNumberFormat="1" applyFont="1" applyFill="1" applyBorder="1" applyAlignment="1">
      <alignment horizontal="center"/>
    </xf>
    <xf numFmtId="4" fontId="8" fillId="0" borderId="56" xfId="1" applyNumberFormat="1" applyFont="1" applyFill="1" applyBorder="1" applyAlignment="1">
      <alignment horizontal="center"/>
    </xf>
    <xf numFmtId="4" fontId="8" fillId="0" borderId="55" xfId="1" applyNumberFormat="1" applyFont="1" applyFill="1" applyBorder="1" applyAlignment="1">
      <alignment horizontal="center"/>
    </xf>
    <xf numFmtId="4" fontId="8" fillId="0" borderId="57" xfId="1" applyNumberFormat="1" applyFont="1" applyFill="1" applyBorder="1" applyAlignment="1">
      <alignment horizontal="center"/>
    </xf>
    <xf numFmtId="4" fontId="8" fillId="0" borderId="44" xfId="1" applyNumberFormat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7" fillId="0" borderId="19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wrapText="1"/>
    </xf>
    <xf numFmtId="49" fontId="7" fillId="0" borderId="128" xfId="1" applyNumberFormat="1" applyFont="1" applyFill="1" applyBorder="1" applyAlignment="1">
      <alignment horizontal="center"/>
    </xf>
    <xf numFmtId="0" fontId="7" fillId="0" borderId="93" xfId="1" applyFont="1" applyBorder="1" applyAlignment="1">
      <alignment horizontal="center"/>
    </xf>
    <xf numFmtId="49" fontId="7" fillId="0" borderId="130" xfId="1" applyNumberFormat="1" applyFont="1" applyBorder="1" applyAlignment="1">
      <alignment horizontal="center"/>
    </xf>
    <xf numFmtId="49" fontId="7" fillId="0" borderId="129" xfId="1" applyNumberFormat="1" applyFont="1" applyFill="1" applyBorder="1" applyAlignment="1">
      <alignment horizontal="center"/>
    </xf>
    <xf numFmtId="4" fontId="17" fillId="0" borderId="50" xfId="1" applyNumberFormat="1" applyFont="1" applyFill="1" applyBorder="1" applyAlignment="1">
      <alignment horizontal="center"/>
    </xf>
    <xf numFmtId="4" fontId="17" fillId="0" borderId="49" xfId="1" applyNumberFormat="1" applyFont="1" applyFill="1" applyBorder="1" applyAlignment="1">
      <alignment horizontal="center"/>
    </xf>
    <xf numFmtId="49" fontId="8" fillId="0" borderId="42" xfId="1" applyNumberFormat="1" applyFont="1" applyFill="1" applyBorder="1" applyAlignment="1">
      <alignment horizontal="center"/>
    </xf>
    <xf numFmtId="4" fontId="8" fillId="0" borderId="42" xfId="1" applyNumberFormat="1" applyFont="1" applyFill="1" applyBorder="1" applyAlignment="1">
      <alignment horizontal="center"/>
    </xf>
    <xf numFmtId="4" fontId="8" fillId="0" borderId="79" xfId="1" applyNumberFormat="1" applyFont="1" applyFill="1" applyBorder="1" applyAlignment="1">
      <alignment horizontal="center"/>
    </xf>
    <xf numFmtId="4" fontId="8" fillId="0" borderId="40" xfId="1" applyNumberFormat="1" applyFont="1" applyFill="1" applyBorder="1" applyAlignment="1">
      <alignment horizontal="center"/>
    </xf>
    <xf numFmtId="4" fontId="8" fillId="0" borderId="80" xfId="1" applyNumberFormat="1" applyFont="1" applyFill="1" applyBorder="1" applyAlignment="1">
      <alignment horizontal="center"/>
    </xf>
    <xf numFmtId="4" fontId="17" fillId="0" borderId="51" xfId="1" applyNumberFormat="1" applyFont="1" applyFill="1" applyBorder="1" applyAlignment="1">
      <alignment horizontal="center"/>
    </xf>
    <xf numFmtId="4" fontId="8" fillId="0" borderId="109" xfId="1" applyNumberFormat="1" applyFont="1" applyFill="1" applyBorder="1" applyAlignment="1">
      <alignment horizontal="center"/>
    </xf>
    <xf numFmtId="4" fontId="8" fillId="0" borderId="108" xfId="1" applyNumberFormat="1" applyFont="1" applyFill="1" applyBorder="1" applyAlignment="1">
      <alignment horizontal="center"/>
    </xf>
    <xf numFmtId="4" fontId="8" fillId="0" borderId="87" xfId="1" applyNumberFormat="1" applyFont="1" applyFill="1" applyBorder="1" applyAlignment="1">
      <alignment horizontal="center"/>
    </xf>
    <xf numFmtId="0" fontId="8" fillId="0" borderId="107" xfId="1" applyFont="1" applyFill="1" applyBorder="1" applyAlignment="1">
      <alignment wrapText="1"/>
    </xf>
    <xf numFmtId="49" fontId="8" fillId="0" borderId="47" xfId="1" applyNumberFormat="1" applyFont="1" applyFill="1" applyBorder="1" applyAlignment="1">
      <alignment horizontal="center"/>
    </xf>
    <xf numFmtId="49" fontId="8" fillId="0" borderId="46" xfId="1" applyNumberFormat="1" applyFont="1" applyFill="1" applyBorder="1" applyAlignment="1">
      <alignment horizontal="center"/>
    </xf>
    <xf numFmtId="4" fontId="8" fillId="0" borderId="46" xfId="1" applyNumberFormat="1" applyFont="1" applyFill="1" applyBorder="1" applyAlignment="1">
      <alignment horizontal="center"/>
    </xf>
    <xf numFmtId="4" fontId="8" fillId="0" borderId="110" xfId="1" applyNumberFormat="1" applyFont="1" applyFill="1" applyBorder="1" applyAlignment="1">
      <alignment horizontal="center"/>
    </xf>
    <xf numFmtId="4" fontId="8" fillId="0" borderId="112" xfId="1" applyNumberFormat="1" applyFont="1" applyFill="1" applyBorder="1" applyAlignment="1">
      <alignment horizontal="center"/>
    </xf>
    <xf numFmtId="4" fontId="8" fillId="0" borderId="111" xfId="1" applyNumberFormat="1" applyFont="1" applyFill="1" applyBorder="1" applyAlignment="1">
      <alignment horizontal="center"/>
    </xf>
    <xf numFmtId="4" fontId="8" fillId="0" borderId="113" xfId="1" applyNumberFormat="1" applyFont="1" applyFill="1" applyBorder="1" applyAlignment="1">
      <alignment horizontal="center"/>
    </xf>
    <xf numFmtId="0" fontId="8" fillId="0" borderId="106" xfId="1" applyFont="1" applyFill="1" applyBorder="1" applyAlignment="1">
      <alignment wrapText="1"/>
    </xf>
    <xf numFmtId="49" fontId="8" fillId="0" borderId="83" xfId="1" applyNumberFormat="1" applyFont="1" applyFill="1" applyBorder="1" applyAlignment="1">
      <alignment horizontal="center"/>
    </xf>
    <xf numFmtId="4" fontId="17" fillId="0" borderId="112" xfId="1" applyNumberFormat="1" applyFont="1" applyFill="1" applyBorder="1" applyAlignment="1">
      <alignment horizontal="center"/>
    </xf>
    <xf numFmtId="4" fontId="17" fillId="0" borderId="111" xfId="1" applyNumberFormat="1" applyFont="1" applyFill="1" applyBorder="1" applyAlignment="1">
      <alignment horizontal="center"/>
    </xf>
    <xf numFmtId="4" fontId="17" fillId="0" borderId="113" xfId="1" applyNumberFormat="1" applyFont="1" applyFill="1" applyBorder="1" applyAlignment="1">
      <alignment horizontal="center"/>
    </xf>
    <xf numFmtId="4" fontId="8" fillId="0" borderId="64" xfId="1" applyNumberFormat="1" applyFont="1" applyFill="1" applyBorder="1" applyAlignment="1">
      <alignment horizontal="center"/>
    </xf>
    <xf numFmtId="4" fontId="8" fillId="0" borderId="85" xfId="1" applyNumberFormat="1" applyFont="1" applyFill="1" applyBorder="1" applyAlignment="1">
      <alignment horizontal="center"/>
    </xf>
    <xf numFmtId="4" fontId="8" fillId="0" borderId="51" xfId="1" applyNumberFormat="1" applyFont="1" applyFill="1" applyBorder="1" applyAlignment="1">
      <alignment horizontal="center"/>
    </xf>
    <xf numFmtId="4" fontId="8" fillId="0" borderId="19" xfId="1" applyNumberFormat="1" applyFont="1" applyFill="1" applyBorder="1" applyAlignment="1">
      <alignment horizontal="center"/>
    </xf>
    <xf numFmtId="4" fontId="8" fillId="0" borderId="45" xfId="1" applyNumberFormat="1" applyFont="1" applyFill="1" applyBorder="1" applyAlignment="1">
      <alignment horizontal="center"/>
    </xf>
    <xf numFmtId="4" fontId="16" fillId="0" borderId="42" xfId="1" applyNumberFormat="1" applyFont="1" applyFill="1" applyBorder="1" applyAlignment="1">
      <alignment horizontal="center"/>
    </xf>
    <xf numFmtId="4" fontId="8" fillId="0" borderId="104" xfId="1" applyNumberFormat="1" applyFont="1" applyFill="1" applyBorder="1" applyAlignment="1">
      <alignment horizontal="center"/>
    </xf>
    <xf numFmtId="4" fontId="8" fillId="0" borderId="103" xfId="1" applyNumberFormat="1" applyFont="1" applyFill="1" applyBorder="1" applyAlignment="1">
      <alignment horizontal="center"/>
    </xf>
    <xf numFmtId="4" fontId="8" fillId="0" borderId="41" xfId="1" applyNumberFormat="1" applyFont="1" applyFill="1" applyBorder="1" applyAlignment="1">
      <alignment horizontal="center"/>
    </xf>
    <xf numFmtId="0" fontId="8" fillId="0" borderId="44" xfId="1" applyFont="1" applyBorder="1" applyAlignment="1">
      <alignment wrapText="1"/>
    </xf>
    <xf numFmtId="49" fontId="15" fillId="0" borderId="43" xfId="1" applyNumberFormat="1" applyFont="1" applyFill="1" applyBorder="1" applyAlignment="1">
      <alignment horizontal="center"/>
    </xf>
    <xf numFmtId="4" fontId="16" fillId="0" borderId="46" xfId="1" applyNumberFormat="1" applyFont="1" applyFill="1" applyBorder="1" applyAlignment="1">
      <alignment horizontal="center"/>
    </xf>
    <xf numFmtId="0" fontId="16" fillId="0" borderId="44" xfId="1" applyFont="1" applyBorder="1" applyAlignment="1">
      <alignment wrapText="1"/>
    </xf>
    <xf numFmtId="49" fontId="14" fillId="0" borderId="43" xfId="1" applyNumberFormat="1" applyFont="1" applyFill="1" applyBorder="1" applyAlignment="1">
      <alignment horizontal="center"/>
    </xf>
    <xf numFmtId="49" fontId="16" fillId="0" borderId="42" xfId="1" applyNumberFormat="1" applyFont="1" applyFill="1" applyBorder="1" applyAlignment="1">
      <alignment horizontal="center"/>
    </xf>
    <xf numFmtId="49" fontId="8" fillId="0" borderId="79" xfId="1" applyNumberFormat="1" applyFont="1" applyFill="1" applyBorder="1" applyAlignment="1">
      <alignment horizontal="center"/>
    </xf>
    <xf numFmtId="49" fontId="8" fillId="0" borderId="40" xfId="1" applyNumberFormat="1" applyFont="1" applyFill="1" applyBorder="1" applyAlignment="1">
      <alignment horizontal="center"/>
    </xf>
    <xf numFmtId="49" fontId="8" fillId="0" borderId="80" xfId="1" applyNumberFormat="1" applyFont="1" applyFill="1" applyBorder="1" applyAlignment="1">
      <alignment horizontal="center"/>
    </xf>
    <xf numFmtId="49" fontId="16" fillId="0" borderId="46" xfId="1" applyNumberFormat="1" applyFont="1" applyFill="1" applyBorder="1" applyAlignment="1">
      <alignment horizontal="center"/>
    </xf>
    <xf numFmtId="0" fontId="8" fillId="0" borderId="40" xfId="1" applyFont="1" applyBorder="1" applyAlignment="1">
      <alignment wrapText="1"/>
    </xf>
    <xf numFmtId="0" fontId="8" fillId="0" borderId="78" xfId="1" applyFont="1" applyBorder="1" applyAlignment="1">
      <alignment wrapText="1"/>
    </xf>
    <xf numFmtId="0" fontId="8" fillId="0" borderId="55" xfId="1" applyFont="1" applyFill="1" applyBorder="1" applyAlignment="1">
      <alignment horizontal="left" wrapText="1"/>
    </xf>
    <xf numFmtId="0" fontId="8" fillId="0" borderId="44" xfId="1" applyFont="1" applyFill="1" applyBorder="1" applyAlignment="1">
      <alignment horizontal="left" wrapText="1"/>
    </xf>
    <xf numFmtId="49" fontId="17" fillId="0" borderId="58" xfId="1" applyNumberFormat="1" applyFont="1" applyFill="1" applyBorder="1" applyAlignment="1">
      <alignment horizontal="center"/>
    </xf>
    <xf numFmtId="49" fontId="17" fillId="0" borderId="55" xfId="1" applyNumberFormat="1" applyFont="1" applyFill="1" applyBorder="1" applyAlignment="1">
      <alignment horizontal="center"/>
    </xf>
    <xf numFmtId="49" fontId="17" fillId="0" borderId="57" xfId="1" applyNumberFormat="1" applyFont="1" applyFill="1" applyBorder="1" applyAlignment="1">
      <alignment horizontal="center"/>
    </xf>
    <xf numFmtId="0" fontId="17" fillId="0" borderId="65" xfId="1" applyFont="1" applyFill="1" applyBorder="1" applyAlignment="1">
      <alignment horizontal="left" wrapText="1"/>
    </xf>
    <xf numFmtId="0" fontId="17" fillId="0" borderId="69" xfId="1" applyFont="1" applyFill="1" applyBorder="1" applyAlignment="1">
      <alignment horizontal="left" wrapText="1"/>
    </xf>
    <xf numFmtId="49" fontId="8" fillId="0" borderId="52" xfId="1" applyNumberFormat="1" applyFont="1" applyFill="1" applyBorder="1" applyAlignment="1">
      <alignment horizontal="center"/>
    </xf>
    <xf numFmtId="0" fontId="8" fillId="0" borderId="99" xfId="1" applyFont="1" applyFill="1" applyBorder="1" applyAlignment="1">
      <alignment wrapText="1"/>
    </xf>
    <xf numFmtId="0" fontId="8" fillId="0" borderId="98" xfId="1" applyFont="1" applyFill="1" applyBorder="1" applyAlignment="1">
      <alignment wrapText="1"/>
    </xf>
    <xf numFmtId="49" fontId="8" fillId="0" borderId="51" xfId="1" applyNumberFormat="1" applyFont="1" applyFill="1" applyBorder="1" applyAlignment="1">
      <alignment horizontal="center"/>
    </xf>
    <xf numFmtId="4" fontId="8" fillId="2" borderId="109" xfId="1" applyNumberFormat="1" applyFont="1" applyFill="1" applyBorder="1" applyAlignment="1">
      <alignment horizontal="center"/>
    </xf>
    <xf numFmtId="4" fontId="8" fillId="2" borderId="108" xfId="1" applyNumberFormat="1" applyFont="1" applyFill="1" applyBorder="1" applyAlignment="1">
      <alignment horizontal="center"/>
    </xf>
    <xf numFmtId="4" fontId="8" fillId="2" borderId="110" xfId="1" applyNumberFormat="1" applyFont="1" applyFill="1" applyBorder="1" applyAlignment="1">
      <alignment horizontal="center"/>
    </xf>
    <xf numFmtId="4" fontId="17" fillId="0" borderId="37" xfId="1" applyNumberFormat="1" applyFont="1" applyFill="1" applyBorder="1" applyAlignment="1">
      <alignment horizontal="center"/>
    </xf>
    <xf numFmtId="0" fontId="8" fillId="0" borderId="57" xfId="1" applyFont="1" applyBorder="1" applyAlignment="1">
      <alignment horizontal="center"/>
    </xf>
    <xf numFmtId="4" fontId="17" fillId="0" borderId="117" xfId="1" applyNumberFormat="1" applyFont="1" applyFill="1" applyBorder="1" applyAlignment="1">
      <alignment horizontal="center"/>
    </xf>
    <xf numFmtId="4" fontId="17" fillId="0" borderId="116" xfId="1" applyNumberFormat="1" applyFont="1" applyFill="1" applyBorder="1" applyAlignment="1">
      <alignment horizontal="center"/>
    </xf>
    <xf numFmtId="0" fontId="8" fillId="0" borderId="56" xfId="1" applyFont="1" applyBorder="1" applyAlignment="1">
      <alignment horizontal="center" vertical="top" wrapText="1"/>
    </xf>
    <xf numFmtId="0" fontId="8" fillId="0" borderId="57" xfId="1" applyFont="1" applyBorder="1" applyAlignment="1">
      <alignment horizontal="center" vertical="top" wrapText="1"/>
    </xf>
    <xf numFmtId="0" fontId="8" fillId="0" borderId="42" xfId="1" applyFont="1" applyBorder="1" applyAlignment="1">
      <alignment horizontal="center" vertical="top" wrapText="1"/>
    </xf>
    <xf numFmtId="0" fontId="8" fillId="0" borderId="79" xfId="1" applyFont="1" applyBorder="1" applyAlignment="1">
      <alignment horizontal="center"/>
    </xf>
    <xf numFmtId="49" fontId="23" fillId="5" borderId="124" xfId="1" applyNumberFormat="1" applyFont="1" applyFill="1" applyBorder="1" applyAlignment="1">
      <alignment horizontal="center" vertical="center"/>
    </xf>
    <xf numFmtId="49" fontId="15" fillId="5" borderId="123" xfId="1" applyNumberFormat="1" applyFont="1" applyFill="1" applyBorder="1" applyAlignment="1">
      <alignment horizontal="center" vertical="center"/>
    </xf>
    <xf numFmtId="49" fontId="8" fillId="0" borderId="64" xfId="1" applyNumberFormat="1" applyFont="1" applyFill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8" fillId="0" borderId="64" xfId="1" applyFont="1" applyBorder="1" applyAlignment="1">
      <alignment horizontal="center"/>
    </xf>
    <xf numFmtId="0" fontId="7" fillId="0" borderId="127" xfId="1" applyFont="1" applyBorder="1" applyAlignment="1">
      <alignment horizontal="center"/>
    </xf>
    <xf numFmtId="0" fontId="8" fillId="0" borderId="40" xfId="1" applyFont="1" applyBorder="1" applyAlignment="1">
      <alignment horizontal="center" vertical="center" wrapText="1"/>
    </xf>
    <xf numFmtId="0" fontId="8" fillId="0" borderId="80" xfId="1" applyFont="1" applyBorder="1" applyAlignment="1">
      <alignment horizontal="center" vertical="center" wrapText="1"/>
    </xf>
    <xf numFmtId="0" fontId="8" fillId="0" borderId="125" xfId="1" applyFont="1" applyBorder="1" applyAlignment="1">
      <alignment horizontal="center" vertical="center" wrapText="1"/>
    </xf>
    <xf numFmtId="0" fontId="8" fillId="0" borderId="89" xfId="1" applyFont="1" applyBorder="1" applyAlignment="1">
      <alignment horizontal="center" vertical="center" wrapText="1"/>
    </xf>
    <xf numFmtId="0" fontId="8" fillId="0" borderId="79" xfId="1" applyFont="1" applyBorder="1" applyAlignment="1">
      <alignment horizontal="center" vertical="center" wrapText="1"/>
    </xf>
    <xf numFmtId="0" fontId="8" fillId="0" borderId="126" xfId="1" applyFont="1" applyBorder="1" applyAlignment="1">
      <alignment horizontal="center" vertical="center" wrapText="1"/>
    </xf>
    <xf numFmtId="4" fontId="15" fillId="5" borderId="123" xfId="1" applyNumberFormat="1" applyFont="1" applyFill="1" applyBorder="1" applyAlignment="1">
      <alignment horizontal="center" vertical="center"/>
    </xf>
    <xf numFmtId="4" fontId="17" fillId="7" borderId="64" xfId="1" applyNumberFormat="1" applyFont="1" applyFill="1" applyBorder="1" applyAlignment="1">
      <alignment horizontal="center" vertical="center"/>
    </xf>
    <xf numFmtId="4" fontId="15" fillId="5" borderId="122" xfId="1" applyNumberFormat="1" applyFont="1" applyFill="1" applyBorder="1" applyAlignment="1">
      <alignment horizontal="center" vertical="center"/>
    </xf>
    <xf numFmtId="0" fontId="17" fillId="0" borderId="99" xfId="1" applyFont="1" applyFill="1" applyBorder="1"/>
    <xf numFmtId="0" fontId="17" fillId="0" borderId="98" xfId="1" applyFont="1" applyFill="1" applyBorder="1"/>
    <xf numFmtId="49" fontId="17" fillId="0" borderId="52" xfId="1" applyNumberFormat="1" applyFont="1" applyFill="1" applyBorder="1" applyAlignment="1">
      <alignment horizontal="center"/>
    </xf>
    <xf numFmtId="49" fontId="17" fillId="0" borderId="51" xfId="1" applyNumberFormat="1" applyFont="1" applyFill="1" applyBorder="1" applyAlignment="1">
      <alignment horizontal="center"/>
    </xf>
    <xf numFmtId="0" fontId="15" fillId="5" borderId="40" xfId="1" applyFont="1" applyFill="1" applyBorder="1" applyAlignment="1">
      <alignment horizontal="center" vertical="center"/>
    </xf>
    <xf numFmtId="0" fontId="8" fillId="0" borderId="121" xfId="1" applyFont="1" applyFill="1" applyBorder="1"/>
    <xf numFmtId="49" fontId="8" fillId="0" borderId="43" xfId="1" applyNumberFormat="1" applyFont="1" applyFill="1" applyBorder="1" applyAlignment="1">
      <alignment horizontal="center"/>
    </xf>
    <xf numFmtId="0" fontId="17" fillId="0" borderId="120" xfId="1" applyFont="1" applyFill="1" applyBorder="1"/>
    <xf numFmtId="0" fontId="17" fillId="0" borderId="65" xfId="1" applyFont="1" applyFill="1" applyBorder="1"/>
    <xf numFmtId="49" fontId="17" fillId="0" borderId="119" xfId="1" applyNumberFormat="1" applyFont="1" applyFill="1" applyBorder="1" applyAlignment="1">
      <alignment horizontal="center"/>
    </xf>
    <xf numFmtId="49" fontId="17" fillId="0" borderId="118" xfId="1" applyNumberFormat="1" applyFont="1" applyFill="1" applyBorder="1" applyAlignment="1">
      <alignment horizontal="center"/>
    </xf>
    <xf numFmtId="4" fontId="17" fillId="0" borderId="118" xfId="1" applyNumberFormat="1" applyFont="1" applyFill="1" applyBorder="1" applyAlignment="1">
      <alignment horizontal="center"/>
    </xf>
    <xf numFmtId="4" fontId="8" fillId="0" borderId="118" xfId="1" applyNumberFormat="1" applyFont="1" applyFill="1" applyBorder="1" applyAlignment="1">
      <alignment horizontal="center"/>
    </xf>
    <xf numFmtId="4" fontId="17" fillId="0" borderId="19" xfId="1" applyNumberFormat="1" applyFont="1" applyFill="1" applyBorder="1" applyAlignment="1">
      <alignment horizontal="center"/>
    </xf>
    <xf numFmtId="4" fontId="8" fillId="0" borderId="82" xfId="1" applyNumberFormat="1" applyFont="1" applyFill="1" applyBorder="1" applyAlignment="1">
      <alignment horizontal="center"/>
    </xf>
    <xf numFmtId="4" fontId="8" fillId="0" borderId="115" xfId="1" applyNumberFormat="1" applyFont="1" applyFill="1" applyBorder="1" applyAlignment="1">
      <alignment horizontal="center"/>
    </xf>
    <xf numFmtId="4" fontId="17" fillId="0" borderId="93" xfId="1" applyNumberFormat="1" applyFont="1" applyFill="1" applyBorder="1" applyAlignment="1">
      <alignment horizontal="center"/>
    </xf>
    <xf numFmtId="0" fontId="17" fillId="0" borderId="99" xfId="1" applyFont="1" applyFill="1" applyBorder="1" applyAlignment="1">
      <alignment wrapText="1"/>
    </xf>
    <xf numFmtId="0" fontId="17" fillId="0" borderId="98" xfId="1" applyFont="1" applyFill="1" applyBorder="1" applyAlignment="1">
      <alignment wrapText="1"/>
    </xf>
    <xf numFmtId="49" fontId="8" fillId="0" borderId="81" xfId="1" applyNumberFormat="1" applyFont="1" applyFill="1" applyBorder="1" applyAlignment="1">
      <alignment horizontal="center"/>
    </xf>
    <xf numFmtId="0" fontId="8" fillId="0" borderId="102" xfId="1" applyFont="1" applyFill="1" applyBorder="1" applyAlignment="1">
      <alignment wrapText="1"/>
    </xf>
    <xf numFmtId="49" fontId="8" fillId="0" borderId="105" xfId="1" applyNumberFormat="1" applyFont="1" applyFill="1" applyBorder="1" applyAlignment="1">
      <alignment horizontal="center"/>
    </xf>
    <xf numFmtId="49" fontId="8" fillId="0" borderId="104" xfId="1" applyNumberFormat="1" applyFont="1" applyFill="1" applyBorder="1" applyAlignment="1">
      <alignment horizontal="center"/>
    </xf>
    <xf numFmtId="0" fontId="8" fillId="0" borderId="44" xfId="1" applyFont="1" applyFill="1" applyBorder="1" applyAlignment="1">
      <alignment wrapText="1"/>
    </xf>
    <xf numFmtId="49" fontId="17" fillId="0" borderId="43" xfId="1" applyNumberFormat="1" applyFont="1" applyFill="1" applyBorder="1" applyAlignment="1">
      <alignment horizontal="center"/>
    </xf>
    <xf numFmtId="0" fontId="8" fillId="0" borderId="87" xfId="1" applyFont="1" applyFill="1" applyBorder="1" applyAlignment="1">
      <alignment wrapText="1"/>
    </xf>
    <xf numFmtId="49" fontId="16" fillId="0" borderId="47" xfId="1" applyNumberFormat="1" applyFont="1" applyFill="1" applyBorder="1" applyAlignment="1">
      <alignment horizontal="center"/>
    </xf>
    <xf numFmtId="49" fontId="8" fillId="0" borderId="101" xfId="1" applyNumberFormat="1" applyFont="1" applyFill="1" applyBorder="1" applyAlignment="1">
      <alignment horizontal="center"/>
    </xf>
    <xf numFmtId="0" fontId="8" fillId="0" borderId="97" xfId="1" applyFont="1" applyFill="1" applyBorder="1" applyAlignment="1">
      <alignment wrapText="1"/>
    </xf>
    <xf numFmtId="0" fontId="8" fillId="0" borderId="96" xfId="1" applyFont="1" applyFill="1" applyBorder="1" applyAlignment="1">
      <alignment wrapText="1"/>
    </xf>
    <xf numFmtId="49" fontId="8" fillId="0" borderId="95" xfId="1" applyNumberFormat="1" applyFont="1" applyFill="1" applyBorder="1" applyAlignment="1">
      <alignment horizontal="center"/>
    </xf>
    <xf numFmtId="49" fontId="8" fillId="0" borderId="94" xfId="1" applyNumberFormat="1" applyFont="1" applyFill="1" applyBorder="1" applyAlignment="1">
      <alignment horizontal="center"/>
    </xf>
    <xf numFmtId="4" fontId="8" fillId="0" borderId="93" xfId="1" applyNumberFormat="1" applyFont="1" applyFill="1" applyBorder="1" applyAlignment="1">
      <alignment horizontal="center"/>
    </xf>
    <xf numFmtId="4" fontId="21" fillId="0" borderId="51" xfId="1" applyNumberFormat="1" applyFont="1" applyFill="1" applyBorder="1" applyAlignment="1">
      <alignment horizontal="center"/>
    </xf>
    <xf numFmtId="4" fontId="21" fillId="0" borderId="50" xfId="1" applyNumberFormat="1" applyFont="1" applyFill="1" applyBorder="1" applyAlignment="1">
      <alignment horizontal="center"/>
    </xf>
    <xf numFmtId="4" fontId="21" fillId="0" borderId="49" xfId="1" applyNumberFormat="1" applyFont="1" applyFill="1" applyBorder="1" applyAlignment="1">
      <alignment horizontal="center"/>
    </xf>
    <xf numFmtId="49" fontId="8" fillId="0" borderId="93" xfId="1" applyNumberFormat="1" applyFont="1" applyFill="1" applyBorder="1" applyAlignment="1">
      <alignment horizontal="center"/>
    </xf>
    <xf numFmtId="0" fontId="21" fillId="0" borderId="99" xfId="1" applyFont="1" applyBorder="1"/>
    <xf numFmtId="0" fontId="21" fillId="0" borderId="98" xfId="1" applyFont="1" applyBorder="1"/>
    <xf numFmtId="4" fontId="8" fillId="0" borderId="92" xfId="1" applyNumberFormat="1" applyFont="1" applyFill="1" applyBorder="1" applyAlignment="1">
      <alignment horizontal="center"/>
    </xf>
    <xf numFmtId="49" fontId="21" fillId="0" borderId="52" xfId="1" applyNumberFormat="1" applyFont="1" applyFill="1" applyBorder="1" applyAlignment="1">
      <alignment horizontal="center"/>
    </xf>
    <xf numFmtId="49" fontId="21" fillId="0" borderId="51" xfId="1" applyNumberFormat="1" applyFont="1" applyFill="1" applyBorder="1" applyAlignment="1">
      <alignment horizontal="center"/>
    </xf>
    <xf numFmtId="0" fontId="8" fillId="0" borderId="91" xfId="1" applyFont="1" applyFill="1" applyBorder="1" applyAlignment="1">
      <alignment wrapText="1"/>
    </xf>
    <xf numFmtId="0" fontId="8" fillId="0" borderId="90" xfId="1" applyFont="1" applyFill="1" applyBorder="1" applyAlignment="1">
      <alignment wrapText="1"/>
    </xf>
    <xf numFmtId="0" fontId="8" fillId="0" borderId="39" xfId="1" applyFont="1" applyFill="1" applyBorder="1" applyAlignment="1">
      <alignment wrapText="1"/>
    </xf>
    <xf numFmtId="49" fontId="8" fillId="0" borderId="17" xfId="1" applyNumberFormat="1" applyFont="1" applyFill="1" applyBorder="1" applyAlignment="1">
      <alignment horizontal="center"/>
    </xf>
    <xf numFmtId="49" fontId="8" fillId="0" borderId="19" xfId="1" applyNumberFormat="1" applyFont="1" applyFill="1" applyBorder="1" applyAlignment="1">
      <alignment horizontal="center"/>
    </xf>
    <xf numFmtId="49" fontId="17" fillId="0" borderId="89" xfId="1" applyNumberFormat="1" applyFont="1" applyFill="1" applyBorder="1" applyAlignment="1">
      <alignment horizontal="center"/>
    </xf>
    <xf numFmtId="49" fontId="17" fillId="0" borderId="47" xfId="1" applyNumberFormat="1" applyFont="1" applyFill="1" applyBorder="1" applyAlignment="1">
      <alignment horizontal="center"/>
    </xf>
    <xf numFmtId="0" fontId="8" fillId="0" borderId="88" xfId="1" applyFont="1" applyFill="1" applyBorder="1" applyAlignment="1">
      <alignment wrapText="1"/>
    </xf>
    <xf numFmtId="49" fontId="19" fillId="0" borderId="43" xfId="1" applyNumberFormat="1" applyFont="1" applyFill="1" applyBorder="1" applyAlignment="1">
      <alignment horizontal="center"/>
    </xf>
    <xf numFmtId="49" fontId="19" fillId="0" borderId="42" xfId="1" applyNumberFormat="1" applyFont="1" applyFill="1" applyBorder="1" applyAlignment="1">
      <alignment horizontal="center"/>
    </xf>
    <xf numFmtId="0" fontId="8" fillId="0" borderId="55" xfId="1" applyFont="1" applyFill="1" applyBorder="1" applyAlignment="1">
      <alignment wrapText="1"/>
    </xf>
    <xf numFmtId="49" fontId="17" fillId="0" borderId="86" xfId="1" applyNumberFormat="1" applyFont="1" applyFill="1" applyBorder="1" applyAlignment="1">
      <alignment horizontal="center"/>
    </xf>
    <xf numFmtId="4" fontId="8" fillId="0" borderId="84" xfId="1" applyNumberFormat="1" applyFont="1" applyFill="1" applyBorder="1" applyAlignment="1">
      <alignment horizontal="center"/>
    </xf>
    <xf numFmtId="0" fontId="8" fillId="0" borderId="78" xfId="1" applyFont="1" applyFill="1" applyBorder="1" applyAlignment="1">
      <alignment wrapText="1"/>
    </xf>
    <xf numFmtId="0" fontId="17" fillId="0" borderId="54" xfId="1" applyFont="1" applyBorder="1"/>
    <xf numFmtId="0" fontId="17" fillId="0" borderId="53" xfId="1" applyFont="1" applyBorder="1"/>
    <xf numFmtId="0" fontId="8" fillId="0" borderId="48" xfId="1" applyFont="1" applyBorder="1" applyAlignment="1">
      <alignment wrapText="1"/>
    </xf>
    <xf numFmtId="4" fontId="8" fillId="0" borderId="78" xfId="1" applyNumberFormat="1" applyFont="1" applyFill="1" applyBorder="1" applyAlignment="1">
      <alignment horizontal="center"/>
    </xf>
    <xf numFmtId="0" fontId="17" fillId="0" borderId="18" xfId="1" applyFont="1" applyFill="1" applyBorder="1" applyAlignment="1">
      <alignment horizontal="left" wrapText="1"/>
    </xf>
    <xf numFmtId="0" fontId="17" fillId="0" borderId="3" xfId="1" applyFont="1" applyFill="1" applyBorder="1" applyAlignment="1">
      <alignment horizontal="left" wrapText="1"/>
    </xf>
    <xf numFmtId="0" fontId="17" fillId="0" borderId="77" xfId="1" applyFont="1" applyFill="1" applyBorder="1" applyAlignment="1">
      <alignment horizontal="left" wrapText="1"/>
    </xf>
    <xf numFmtId="49" fontId="15" fillId="0" borderId="76" xfId="1" applyNumberFormat="1" applyFont="1" applyFill="1" applyBorder="1" applyAlignment="1">
      <alignment horizontal="center"/>
    </xf>
    <xf numFmtId="49" fontId="15" fillId="0" borderId="3" xfId="1" applyNumberFormat="1" applyFont="1" applyFill="1" applyBorder="1" applyAlignment="1">
      <alignment horizontal="center"/>
    </xf>
    <xf numFmtId="49" fontId="15" fillId="0" borderId="72" xfId="1" applyNumberFormat="1" applyFont="1" applyFill="1" applyBorder="1" applyAlignment="1">
      <alignment horizontal="center"/>
    </xf>
    <xf numFmtId="49" fontId="17" fillId="0" borderId="73" xfId="1" applyNumberFormat="1" applyFont="1" applyFill="1" applyBorder="1" applyAlignment="1">
      <alignment horizontal="center"/>
    </xf>
    <xf numFmtId="49" fontId="17" fillId="0" borderId="3" xfId="1" applyNumberFormat="1" applyFont="1" applyFill="1" applyBorder="1" applyAlignment="1">
      <alignment horizontal="center"/>
    </xf>
    <xf numFmtId="49" fontId="17" fillId="0" borderId="72" xfId="1" applyNumberFormat="1" applyFont="1" applyFill="1" applyBorder="1" applyAlignment="1">
      <alignment horizontal="center"/>
    </xf>
    <xf numFmtId="4" fontId="17" fillId="0" borderId="73" xfId="1" applyNumberFormat="1" applyFont="1" applyFill="1" applyBorder="1" applyAlignment="1">
      <alignment horizontal="center"/>
    </xf>
    <xf numFmtId="4" fontId="17" fillId="0" borderId="3" xfId="1" applyNumberFormat="1" applyFont="1" applyFill="1" applyBorder="1" applyAlignment="1">
      <alignment horizontal="center"/>
    </xf>
    <xf numFmtId="4" fontId="17" fillId="0" borderId="72" xfId="1" applyNumberFormat="1" applyFont="1" applyFill="1" applyBorder="1" applyAlignment="1">
      <alignment horizontal="center"/>
    </xf>
    <xf numFmtId="4" fontId="8" fillId="0" borderId="70" xfId="1" applyNumberFormat="1" applyFont="1" applyFill="1" applyBorder="1" applyAlignment="1">
      <alignment horizontal="center"/>
    </xf>
    <xf numFmtId="4" fontId="8" fillId="0" borderId="2" xfId="1" applyNumberFormat="1" applyFont="1" applyFill="1" applyBorder="1" applyAlignment="1">
      <alignment horizontal="center"/>
    </xf>
    <xf numFmtId="4" fontId="8" fillId="0" borderId="71" xfId="1" applyNumberFormat="1" applyFont="1" applyFill="1" applyBorder="1" applyAlignment="1">
      <alignment horizontal="center"/>
    </xf>
    <xf numFmtId="4" fontId="17" fillId="0" borderId="18" xfId="1" applyNumberFormat="1" applyFont="1" applyFill="1" applyBorder="1" applyAlignment="1">
      <alignment horizontal="center"/>
    </xf>
    <xf numFmtId="4" fontId="17" fillId="0" borderId="20" xfId="1" applyNumberFormat="1" applyFont="1" applyFill="1" applyBorder="1" applyAlignment="1">
      <alignment horizontal="center"/>
    </xf>
    <xf numFmtId="0" fontId="8" fillId="0" borderId="2" xfId="1" applyFont="1" applyFill="1" applyBorder="1" applyAlignment="1">
      <alignment horizontal="left" wrapText="1"/>
    </xf>
    <xf numFmtId="0" fontId="8" fillId="0" borderId="75" xfId="1" applyFont="1" applyFill="1" applyBorder="1" applyAlignment="1">
      <alignment horizontal="left" wrapText="1"/>
    </xf>
    <xf numFmtId="49" fontId="15" fillId="0" borderId="74" xfId="1" applyNumberFormat="1" applyFont="1" applyFill="1" applyBorder="1" applyAlignment="1">
      <alignment horizontal="center"/>
    </xf>
    <xf numFmtId="49" fontId="15" fillId="0" borderId="2" xfId="1" applyNumberFormat="1" applyFont="1" applyFill="1" applyBorder="1" applyAlignment="1">
      <alignment horizontal="center"/>
    </xf>
    <xf numFmtId="49" fontId="15" fillId="0" borderId="71" xfId="1" applyNumberFormat="1" applyFont="1" applyFill="1" applyBorder="1" applyAlignment="1">
      <alignment horizontal="center"/>
    </xf>
    <xf numFmtId="49" fontId="8" fillId="0" borderId="73" xfId="1" applyNumberFormat="1" applyFont="1" applyFill="1" applyBorder="1" applyAlignment="1">
      <alignment horizontal="center"/>
    </xf>
    <xf numFmtId="49" fontId="8" fillId="0" borderId="3" xfId="1" applyNumberFormat="1" applyFont="1" applyFill="1" applyBorder="1" applyAlignment="1">
      <alignment horizontal="center"/>
    </xf>
    <xf numFmtId="49" fontId="8" fillId="0" borderId="72" xfId="1" applyNumberFormat="1" applyFont="1" applyFill="1" applyBorder="1" applyAlignment="1">
      <alignment horizontal="center"/>
    </xf>
    <xf numFmtId="0" fontId="17" fillId="0" borderId="54" xfId="1" applyFont="1" applyBorder="1" applyAlignment="1">
      <alignment wrapText="1"/>
    </xf>
    <xf numFmtId="0" fontId="17" fillId="0" borderId="53" xfId="1" applyFont="1" applyBorder="1" applyAlignment="1">
      <alignment wrapText="1"/>
    </xf>
    <xf numFmtId="49" fontId="15" fillId="0" borderId="52" xfId="1" applyNumberFormat="1" applyFont="1" applyFill="1" applyBorder="1" applyAlignment="1">
      <alignment horizontal="center"/>
    </xf>
    <xf numFmtId="0" fontId="16" fillId="0" borderId="48" xfId="1" applyFont="1" applyBorder="1" applyAlignment="1">
      <alignment wrapText="1"/>
    </xf>
    <xf numFmtId="49" fontId="15" fillId="0" borderId="47" xfId="1" applyNumberFormat="1" applyFont="1" applyFill="1" applyBorder="1" applyAlignment="1">
      <alignment horizontal="center"/>
    </xf>
    <xf numFmtId="0" fontId="17" fillId="0" borderId="44" xfId="1" applyFont="1" applyBorder="1" applyAlignment="1">
      <alignment wrapText="1"/>
    </xf>
    <xf numFmtId="4" fontId="17" fillId="0" borderId="42" xfId="1" applyNumberFormat="1" applyFont="1" applyFill="1" applyBorder="1" applyAlignment="1">
      <alignment horizontal="center"/>
    </xf>
    <xf numFmtId="49" fontId="17" fillId="0" borderId="42" xfId="1" applyNumberFormat="1" applyFont="1" applyFill="1" applyBorder="1" applyAlignment="1">
      <alignment horizontal="center"/>
    </xf>
    <xf numFmtId="0" fontId="15" fillId="5" borderId="54" xfId="1" applyFont="1" applyFill="1" applyBorder="1" applyAlignment="1">
      <alignment horizontal="center" vertical="center" wrapText="1"/>
    </xf>
    <xf numFmtId="0" fontId="15" fillId="5" borderId="53" xfId="1" applyFont="1" applyFill="1" applyBorder="1" applyAlignment="1">
      <alignment horizontal="center" vertical="center" wrapText="1"/>
    </xf>
    <xf numFmtId="4" fontId="15" fillId="5" borderId="51" xfId="1" applyNumberFormat="1" applyFont="1" applyFill="1" applyBorder="1" applyAlignment="1">
      <alignment horizontal="center" vertical="center"/>
    </xf>
    <xf numFmtId="49" fontId="15" fillId="5" borderId="52" xfId="1" applyNumberFormat="1" applyFont="1" applyFill="1" applyBorder="1" applyAlignment="1">
      <alignment horizontal="center" vertical="center"/>
    </xf>
    <xf numFmtId="0" fontId="8" fillId="0" borderId="48" xfId="1" applyFont="1" applyFill="1" applyBorder="1" applyAlignment="1">
      <alignment wrapText="1"/>
    </xf>
    <xf numFmtId="49" fontId="15" fillId="5" borderId="51" xfId="1" applyNumberFormat="1" applyFont="1" applyFill="1" applyBorder="1" applyAlignment="1">
      <alignment horizontal="center" vertical="center"/>
    </xf>
    <xf numFmtId="4" fontId="16" fillId="0" borderId="56" xfId="1" applyNumberFormat="1" applyFont="1" applyFill="1" applyBorder="1" applyAlignment="1">
      <alignment horizontal="center"/>
    </xf>
    <xf numFmtId="4" fontId="16" fillId="0" borderId="55" xfId="1" applyNumberFormat="1" applyFont="1" applyFill="1" applyBorder="1" applyAlignment="1">
      <alignment horizontal="center"/>
    </xf>
    <xf numFmtId="4" fontId="16" fillId="0" borderId="57" xfId="1" applyNumberFormat="1" applyFont="1" applyFill="1" applyBorder="1" applyAlignment="1">
      <alignment horizontal="center"/>
    </xf>
    <xf numFmtId="0" fontId="16" fillId="0" borderId="55" xfId="1" applyFont="1" applyBorder="1" applyAlignment="1">
      <alignment wrapText="1"/>
    </xf>
    <xf numFmtId="49" fontId="15" fillId="0" borderId="58" xfId="1" applyNumberFormat="1" applyFont="1" applyFill="1" applyBorder="1" applyAlignment="1">
      <alignment horizontal="center"/>
    </xf>
    <xf numFmtId="49" fontId="15" fillId="0" borderId="55" xfId="1" applyNumberFormat="1" applyFont="1" applyFill="1" applyBorder="1" applyAlignment="1">
      <alignment horizontal="center"/>
    </xf>
    <xf numFmtId="49" fontId="8" fillId="0" borderId="11" xfId="1" applyNumberFormat="1" applyFont="1" applyFill="1" applyBorder="1" applyAlignment="1">
      <alignment horizontal="center"/>
    </xf>
    <xf numFmtId="49" fontId="14" fillId="0" borderId="58" xfId="1" applyNumberFormat="1" applyFont="1" applyFill="1" applyBorder="1" applyAlignment="1">
      <alignment horizontal="center"/>
    </xf>
    <xf numFmtId="49" fontId="14" fillId="0" borderId="55" xfId="1" applyNumberFormat="1" applyFont="1" applyFill="1" applyBorder="1" applyAlignment="1">
      <alignment horizontal="center"/>
    </xf>
    <xf numFmtId="49" fontId="14" fillId="0" borderId="57" xfId="1" applyNumberFormat="1" applyFont="1" applyFill="1" applyBorder="1" applyAlignment="1">
      <alignment horizontal="center"/>
    </xf>
    <xf numFmtId="49" fontId="16" fillId="0" borderId="64" xfId="1" applyNumberFormat="1" applyFont="1" applyFill="1" applyBorder="1" applyAlignment="1">
      <alignment horizontal="center"/>
    </xf>
    <xf numFmtId="0" fontId="8" fillId="0" borderId="60" xfId="1" applyFont="1" applyBorder="1" applyAlignment="1">
      <alignment wrapText="1"/>
    </xf>
    <xf numFmtId="0" fontId="8" fillId="0" borderId="59" xfId="1" applyFont="1" applyBorder="1" applyAlignment="1">
      <alignment wrapText="1"/>
    </xf>
    <xf numFmtId="49" fontId="15" fillId="0" borderId="63" xfId="1" applyNumberFormat="1" applyFont="1" applyFill="1" applyBorder="1" applyAlignment="1">
      <alignment horizontal="center"/>
    </xf>
    <xf numFmtId="49" fontId="15" fillId="0" borderId="60" xfId="1" applyNumberFormat="1" applyFont="1" applyFill="1" applyBorder="1" applyAlignment="1">
      <alignment horizontal="center"/>
    </xf>
    <xf numFmtId="4" fontId="8" fillId="0" borderId="60" xfId="1" applyNumberFormat="1" applyFont="1" applyFill="1" applyBorder="1" applyAlignment="1">
      <alignment horizontal="center"/>
    </xf>
    <xf numFmtId="4" fontId="8" fillId="0" borderId="62" xfId="1" applyNumberFormat="1" applyFont="1" applyFill="1" applyBorder="1" applyAlignment="1">
      <alignment horizontal="center"/>
    </xf>
    <xf numFmtId="4" fontId="14" fillId="3" borderId="51" xfId="1" applyNumberFormat="1" applyFont="1" applyFill="1" applyBorder="1" applyAlignment="1">
      <alignment horizontal="center" vertical="center"/>
    </xf>
    <xf numFmtId="4" fontId="8" fillId="0" borderId="61" xfId="1" applyNumberFormat="1" applyFont="1" applyFill="1" applyBorder="1" applyAlignment="1">
      <alignment horizontal="center"/>
    </xf>
    <xf numFmtId="4" fontId="14" fillId="3" borderId="50" xfId="1" applyNumberFormat="1" applyFont="1" applyFill="1" applyBorder="1" applyAlignment="1">
      <alignment horizontal="center" vertical="center"/>
    </xf>
    <xf numFmtId="4" fontId="14" fillId="3" borderId="49" xfId="1" applyNumberFormat="1" applyFont="1" applyFill="1" applyBorder="1" applyAlignment="1">
      <alignment horizontal="center" vertical="center"/>
    </xf>
    <xf numFmtId="4" fontId="16" fillId="0" borderId="41" xfId="1" applyNumberFormat="1" applyFont="1" applyFill="1" applyBorder="1" applyAlignment="1">
      <alignment horizontal="center"/>
    </xf>
    <xf numFmtId="0" fontId="14" fillId="3" borderId="54" xfId="1" applyFont="1" applyFill="1" applyBorder="1" applyAlignment="1">
      <alignment horizontal="center" vertical="center" wrapText="1"/>
    </xf>
    <xf numFmtId="0" fontId="14" fillId="3" borderId="53" xfId="1" applyFont="1" applyFill="1" applyBorder="1" applyAlignment="1">
      <alignment horizontal="center" vertical="center" wrapText="1"/>
    </xf>
    <xf numFmtId="49" fontId="14" fillId="3" borderId="52" xfId="1" applyNumberFormat="1" applyFont="1" applyFill="1" applyBorder="1" applyAlignment="1">
      <alignment horizontal="center" vertical="center"/>
    </xf>
    <xf numFmtId="49" fontId="14" fillId="3" borderId="51" xfId="1" applyNumberFormat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/>
    </xf>
    <xf numFmtId="0" fontId="10" fillId="0" borderId="42" xfId="1" applyFont="1" applyFill="1" applyBorder="1" applyAlignment="1">
      <alignment horizontal="center"/>
    </xf>
    <xf numFmtId="0" fontId="10" fillId="0" borderId="48" xfId="1" applyFont="1" applyBorder="1" applyAlignment="1">
      <alignment wrapText="1"/>
    </xf>
    <xf numFmtId="49" fontId="12" fillId="0" borderId="47" xfId="1" applyNumberFormat="1" applyFont="1" applyFill="1" applyBorder="1" applyAlignment="1">
      <alignment horizontal="center"/>
    </xf>
    <xf numFmtId="49" fontId="10" fillId="0" borderId="46" xfId="1" applyNumberFormat="1" applyFont="1" applyFill="1" applyBorder="1" applyAlignment="1">
      <alignment horizontal="center"/>
    </xf>
    <xf numFmtId="2" fontId="10" fillId="0" borderId="46" xfId="1" applyNumberFormat="1" applyFont="1" applyFill="1" applyBorder="1" applyAlignment="1">
      <alignment horizontal="center"/>
    </xf>
    <xf numFmtId="0" fontId="10" fillId="0" borderId="46" xfId="1" applyFont="1" applyFill="1" applyBorder="1" applyAlignment="1">
      <alignment horizontal="center"/>
    </xf>
    <xf numFmtId="0" fontId="7" fillId="0" borderId="45" xfId="1" applyFont="1" applyFill="1" applyBorder="1" applyAlignment="1">
      <alignment horizontal="center"/>
    </xf>
    <xf numFmtId="49" fontId="10" fillId="0" borderId="42" xfId="1" applyNumberFormat="1" applyFont="1" applyFill="1" applyBorder="1" applyAlignment="1">
      <alignment horizontal="center"/>
    </xf>
    <xf numFmtId="49" fontId="12" fillId="0" borderId="43" xfId="1" applyNumberFormat="1" applyFont="1" applyFill="1" applyBorder="1" applyAlignment="1">
      <alignment horizontal="center"/>
    </xf>
    <xf numFmtId="0" fontId="10" fillId="0" borderId="44" xfId="1" applyFont="1" applyBorder="1" applyAlignment="1">
      <alignment wrapText="1"/>
    </xf>
    <xf numFmtId="0" fontId="8" fillId="0" borderId="107" xfId="1" applyFont="1" applyFill="1" applyBorder="1"/>
    <xf numFmtId="0" fontId="8" fillId="0" borderId="36" xfId="1" applyFont="1" applyFill="1" applyBorder="1" applyAlignment="1">
      <alignment wrapText="1"/>
    </xf>
    <xf numFmtId="0" fontId="8" fillId="0" borderId="111" xfId="1" applyFont="1" applyFill="1" applyBorder="1" applyAlignment="1">
      <alignment wrapText="1"/>
    </xf>
    <xf numFmtId="49" fontId="8" fillId="0" borderId="114" xfId="1" applyNumberFormat="1" applyFont="1" applyFill="1" applyBorder="1" applyAlignment="1">
      <alignment horizontal="center"/>
    </xf>
    <xf numFmtId="49" fontId="8" fillId="0" borderId="111" xfId="1" applyNumberFormat="1" applyFont="1" applyFill="1" applyBorder="1" applyAlignment="1">
      <alignment horizontal="center"/>
    </xf>
    <xf numFmtId="49" fontId="8" fillId="0" borderId="113" xfId="1" applyNumberFormat="1" applyFont="1" applyFill="1" applyBorder="1" applyAlignment="1">
      <alignment horizontal="center"/>
    </xf>
    <xf numFmtId="49" fontId="10" fillId="0" borderId="43" xfId="1" applyNumberFormat="1" applyFont="1" applyFill="1" applyBorder="1" applyAlignment="1">
      <alignment horizontal="center"/>
    </xf>
    <xf numFmtId="4" fontId="8" fillId="7" borderId="51" xfId="1" applyNumberFormat="1" applyFont="1" applyFill="1" applyBorder="1" applyAlignment="1">
      <alignment horizontal="center" vertical="center"/>
    </xf>
    <xf numFmtId="4" fontId="15" fillId="5" borderId="50" xfId="1" applyNumberFormat="1" applyFont="1" applyFill="1" applyBorder="1" applyAlignment="1">
      <alignment horizontal="center" vertical="center"/>
    </xf>
    <xf numFmtId="4" fontId="15" fillId="5" borderId="49" xfId="1" applyNumberFormat="1" applyFont="1" applyFill="1" applyBorder="1" applyAlignment="1">
      <alignment horizontal="center" vertical="center"/>
    </xf>
    <xf numFmtId="4" fontId="17" fillId="0" borderId="41" xfId="1" applyNumberFormat="1" applyFont="1" applyFill="1" applyBorder="1" applyAlignment="1">
      <alignment horizontal="center"/>
    </xf>
    <xf numFmtId="0" fontId="8" fillId="0" borderId="55" xfId="1" applyFont="1" applyFill="1" applyBorder="1"/>
    <xf numFmtId="0" fontId="8" fillId="0" borderId="44" xfId="1" applyFont="1" applyFill="1" applyBorder="1"/>
    <xf numFmtId="49" fontId="8" fillId="0" borderId="58" xfId="1" applyNumberFormat="1" applyFont="1" applyFill="1" applyBorder="1" applyAlignment="1">
      <alignment horizontal="center"/>
    </xf>
    <xf numFmtId="49" fontId="8" fillId="0" borderId="55" xfId="1" applyNumberFormat="1" applyFont="1" applyFill="1" applyBorder="1" applyAlignment="1">
      <alignment horizontal="center"/>
    </xf>
    <xf numFmtId="49" fontId="8" fillId="0" borderId="57" xfId="1" applyNumberFormat="1" applyFont="1" applyFill="1" applyBorder="1" applyAlignment="1">
      <alignment horizontal="center"/>
    </xf>
    <xf numFmtId="49" fontId="8" fillId="0" borderId="56" xfId="1" applyNumberFormat="1" applyFont="1" applyFill="1" applyBorder="1" applyAlignment="1">
      <alignment horizontal="center"/>
    </xf>
    <xf numFmtId="0" fontId="16" fillId="0" borderId="107" xfId="1" applyFont="1" applyFill="1" applyBorder="1" applyAlignment="1">
      <alignment wrapText="1"/>
    </xf>
    <xf numFmtId="0" fontId="8" fillId="0" borderId="40" xfId="1" applyFont="1" applyFill="1" applyBorder="1"/>
    <xf numFmtId="4" fontId="16" fillId="0" borderId="45" xfId="1" applyNumberFormat="1" applyFont="1" applyFill="1" applyBorder="1" applyAlignment="1">
      <alignment horizontal="center"/>
    </xf>
    <xf numFmtId="4" fontId="8" fillId="0" borderId="59" xfId="1" applyNumberFormat="1" applyFont="1" applyFill="1" applyBorder="1" applyAlignment="1">
      <alignment horizontal="center"/>
    </xf>
    <xf numFmtId="4" fontId="16" fillId="0" borderId="44" xfId="1" applyNumberFormat="1" applyFont="1" applyFill="1" applyBorder="1" applyAlignment="1">
      <alignment horizontal="center"/>
    </xf>
    <xf numFmtId="0" fontId="7" fillId="0" borderId="40" xfId="1" applyFont="1" applyBorder="1" applyAlignment="1">
      <alignment horizontal="center"/>
    </xf>
    <xf numFmtId="2" fontId="27" fillId="2" borderId="18" xfId="2" applyNumberFormat="1" applyFont="1" applyFill="1" applyBorder="1" applyAlignment="1" applyProtection="1">
      <alignment horizontal="center"/>
    </xf>
    <xf numFmtId="2" fontId="27" fillId="2" borderId="3" xfId="2" applyNumberFormat="1" applyFont="1" applyFill="1" applyBorder="1" applyAlignment="1" applyProtection="1">
      <alignment horizontal="center"/>
    </xf>
    <xf numFmtId="2" fontId="29" fillId="2" borderId="18" xfId="2" applyNumberFormat="1" applyFont="1" applyFill="1" applyBorder="1" applyAlignment="1" applyProtection="1">
      <alignment horizontal="right"/>
    </xf>
    <xf numFmtId="2" fontId="29" fillId="2" borderId="20" xfId="2" applyNumberFormat="1" applyFont="1" applyFill="1" applyBorder="1" applyAlignment="1" applyProtection="1">
      <alignment horizontal="right"/>
    </xf>
    <xf numFmtId="2" fontId="27" fillId="2" borderId="18" xfId="2" applyNumberFormat="1" applyFont="1" applyFill="1" applyBorder="1" applyAlignment="1" applyProtection="1">
      <alignment horizontal="right"/>
    </xf>
    <xf numFmtId="2" fontId="27" fillId="2" borderId="20" xfId="2" applyNumberFormat="1" applyFont="1" applyFill="1" applyBorder="1" applyAlignment="1" applyProtection="1">
      <alignment horizontal="right"/>
    </xf>
    <xf numFmtId="2" fontId="27" fillId="2" borderId="20" xfId="2" applyNumberFormat="1" applyFont="1" applyFill="1" applyBorder="1" applyAlignment="1" applyProtection="1">
      <alignment horizontal="center"/>
    </xf>
    <xf numFmtId="0" fontId="26" fillId="0" borderId="0" xfId="2" applyAlignment="1" applyProtection="1">
      <alignment horizontal="center"/>
    </xf>
    <xf numFmtId="49" fontId="27" fillId="0" borderId="19" xfId="2" applyNumberFormat="1" applyFont="1" applyFill="1" applyBorder="1" applyAlignment="1" applyProtection="1">
      <alignment horizontal="center"/>
      <protection locked="0"/>
    </xf>
    <xf numFmtId="49" fontId="27" fillId="0" borderId="19" xfId="2" applyNumberFormat="1" applyFont="1" applyBorder="1" applyAlignment="1" applyProtection="1">
      <alignment horizontal="center"/>
    </xf>
    <xf numFmtId="0" fontId="27" fillId="0" borderId="19" xfId="2" applyFont="1" applyBorder="1" applyAlignment="1" applyProtection="1">
      <alignment horizontal="center"/>
    </xf>
    <xf numFmtId="49" fontId="27" fillId="0" borderId="22" xfId="2" applyNumberFormat="1" applyFont="1" applyBorder="1" applyAlignment="1" applyProtection="1">
      <alignment horizontal="center" vertical="center" wrapText="1"/>
    </xf>
    <xf numFmtId="49" fontId="27" fillId="0" borderId="30" xfId="2" applyNumberFormat="1" applyFont="1" applyBorder="1" applyAlignment="1" applyProtection="1">
      <alignment horizontal="center" vertical="center" wrapText="1"/>
    </xf>
    <xf numFmtId="49" fontId="27" fillId="0" borderId="26" xfId="2" applyNumberFormat="1" applyFont="1" applyBorder="1" applyAlignment="1" applyProtection="1">
      <alignment horizontal="center" vertical="center" wrapText="1"/>
    </xf>
    <xf numFmtId="0" fontId="27" fillId="0" borderId="0" xfId="2" applyFont="1" applyAlignment="1" applyProtection="1">
      <alignment horizontal="center"/>
    </xf>
    <xf numFmtId="0" fontId="27" fillId="0" borderId="19" xfId="2" applyFont="1" applyBorder="1" applyAlignment="1" applyProtection="1">
      <alignment horizontal="center" vertical="center" wrapText="1"/>
    </xf>
    <xf numFmtId="0" fontId="27" fillId="0" borderId="38" xfId="2" applyFont="1" applyBorder="1" applyAlignment="1" applyProtection="1">
      <alignment horizontal="center" vertical="center" wrapText="1"/>
    </xf>
    <xf numFmtId="0" fontId="27" fillId="0" borderId="35" xfId="2" applyFont="1" applyBorder="1" applyAlignment="1" applyProtection="1">
      <alignment horizontal="center" vertical="center" wrapText="1"/>
    </xf>
    <xf numFmtId="0" fontId="27" fillId="0" borderId="31" xfId="2" applyFont="1" applyBorder="1" applyAlignment="1" applyProtection="1">
      <alignment horizontal="center" vertical="center" wrapText="1"/>
    </xf>
    <xf numFmtId="0" fontId="27" fillId="0" borderId="0" xfId="2" applyFont="1" applyAlignment="1" applyProtection="1">
      <alignment horizontal="left"/>
    </xf>
    <xf numFmtId="14" fontId="27" fillId="0" borderId="19" xfId="2" applyNumberFormat="1" applyFont="1" applyBorder="1" applyAlignment="1" applyProtection="1">
      <alignment horizontal="center"/>
      <protection locked="0"/>
    </xf>
    <xf numFmtId="0" fontId="27" fillId="0" borderId="0" xfId="2" applyNumberFormat="1" applyFont="1" applyFill="1" applyAlignment="1" applyProtection="1">
      <alignment horizontal="left" wrapText="1"/>
    </xf>
    <xf numFmtId="49" fontId="27" fillId="0" borderId="22" xfId="2" applyNumberFormat="1" applyFont="1" applyFill="1" applyBorder="1" applyAlignment="1" applyProtection="1">
      <alignment horizontal="center" vertical="center"/>
    </xf>
    <xf numFmtId="49" fontId="27" fillId="0" borderId="27" xfId="2" applyNumberFormat="1" applyFont="1" applyFill="1" applyBorder="1" applyAlignment="1" applyProtection="1">
      <alignment horizontal="center" vertical="center"/>
    </xf>
    <xf numFmtId="49" fontId="27" fillId="0" borderId="38" xfId="2" applyNumberFormat="1" applyFont="1" applyFill="1" applyBorder="1" applyAlignment="1" applyProtection="1">
      <alignment horizontal="center" vertical="center"/>
    </xf>
    <xf numFmtId="49" fontId="27" fillId="0" borderId="19" xfId="2" applyNumberFormat="1" applyFont="1" applyBorder="1" applyAlignment="1" applyProtection="1">
      <alignment horizontal="center" vertical="center" wrapText="1"/>
    </xf>
    <xf numFmtId="0" fontId="29" fillId="0" borderId="0" xfId="2" applyFont="1" applyAlignment="1" applyProtection="1">
      <alignment horizontal="center"/>
    </xf>
    <xf numFmtId="0" fontId="29" fillId="0" borderId="0" xfId="2" applyFont="1" applyAlignment="1" applyProtection="1">
      <alignment horizontal="center" wrapText="1"/>
    </xf>
    <xf numFmtId="0" fontId="27" fillId="0" borderId="2" xfId="2" applyNumberFormat="1" applyFont="1" applyBorder="1" applyAlignment="1" applyProtection="1">
      <alignment horizontal="left"/>
      <protection locked="0"/>
    </xf>
    <xf numFmtId="49" fontId="27" fillId="0" borderId="0" xfId="2" applyNumberFormat="1" applyFont="1" applyBorder="1" applyAlignment="1" applyProtection="1">
      <alignment horizontal="center"/>
    </xf>
    <xf numFmtId="0" fontId="27" fillId="0" borderId="0" xfId="2" applyNumberFormat="1" applyFont="1" applyFill="1" applyAlignment="1" applyProtection="1">
      <alignment horizontal="left" vertical="center" wrapText="1"/>
    </xf>
    <xf numFmtId="49" fontId="27" fillId="0" borderId="22" xfId="2" applyNumberFormat="1" applyFont="1" applyBorder="1" applyAlignment="1" applyProtection="1">
      <alignment horizontal="center" vertical="center"/>
    </xf>
    <xf numFmtId="49" fontId="27" fillId="0" borderId="27" xfId="2" applyNumberFormat="1" applyFont="1" applyBorder="1" applyAlignment="1" applyProtection="1">
      <alignment horizontal="center" vertical="center"/>
    </xf>
    <xf numFmtId="49" fontId="27" fillId="0" borderId="26" xfId="2" applyNumberFormat="1" applyFont="1" applyBorder="1" applyAlignment="1" applyProtection="1">
      <alignment horizontal="center" vertical="center"/>
    </xf>
    <xf numFmtId="49" fontId="27" fillId="0" borderId="2" xfId="2" applyNumberFormat="1" applyFont="1" applyBorder="1" applyAlignment="1" applyProtection="1">
      <alignment horizontal="center" vertical="center"/>
    </xf>
    <xf numFmtId="2" fontId="29" fillId="2" borderId="3" xfId="2" applyNumberFormat="1" applyFont="1" applyFill="1" applyBorder="1" applyAlignment="1" applyProtection="1">
      <alignment horizontal="right"/>
    </xf>
    <xf numFmtId="2" fontId="27" fillId="2" borderId="19" xfId="2" applyNumberFormat="1" applyFont="1" applyFill="1" applyBorder="1" applyAlignment="1" applyProtection="1">
      <alignment horizontal="right"/>
    </xf>
    <xf numFmtId="0" fontId="27" fillId="0" borderId="22" xfId="2" applyFont="1" applyBorder="1" applyAlignment="1" applyProtection="1">
      <alignment horizontal="center" vertical="center" wrapText="1"/>
    </xf>
    <xf numFmtId="0" fontId="27" fillId="0" borderId="30" xfId="2" applyFont="1" applyBorder="1" applyAlignment="1" applyProtection="1">
      <alignment horizontal="center" vertical="center" wrapText="1"/>
    </xf>
    <xf numFmtId="0" fontId="27" fillId="0" borderId="26" xfId="2" applyFont="1" applyBorder="1" applyAlignment="1" applyProtection="1">
      <alignment horizontal="center" vertical="center" wrapText="1"/>
    </xf>
    <xf numFmtId="164" fontId="27" fillId="2" borderId="19" xfId="2" applyNumberFormat="1" applyFont="1" applyFill="1" applyBorder="1" applyAlignment="1" applyProtection="1">
      <alignment horizontal="right" vertical="center"/>
    </xf>
    <xf numFmtId="164" fontId="27" fillId="2" borderId="19" xfId="2" applyNumberFormat="1" applyFont="1" applyFill="1" applyBorder="1" applyAlignment="1" applyProtection="1">
      <alignment horizontal="right"/>
    </xf>
    <xf numFmtId="49" fontId="27" fillId="0" borderId="19" xfId="2" applyNumberFormat="1" applyFont="1" applyBorder="1" applyAlignment="1" applyProtection="1">
      <alignment horizontal="center" vertical="center"/>
    </xf>
    <xf numFmtId="2" fontId="27" fillId="2" borderId="19" xfId="2" applyNumberFormat="1" applyFont="1" applyFill="1" applyBorder="1" applyAlignment="1" applyProtection="1">
      <alignment horizontal="right" vertical="center"/>
    </xf>
    <xf numFmtId="49" fontId="27" fillId="0" borderId="27" xfId="2" applyNumberFormat="1" applyFont="1" applyBorder="1" applyAlignment="1" applyProtection="1">
      <alignment horizontal="center" vertical="center" wrapText="1"/>
    </xf>
    <xf numFmtId="49" fontId="27" fillId="0" borderId="38" xfId="2" applyNumberFormat="1" applyFont="1" applyBorder="1" applyAlignment="1" applyProtection="1">
      <alignment horizontal="center" vertical="center" wrapText="1"/>
    </xf>
    <xf numFmtId="49" fontId="27" fillId="0" borderId="0" xfId="2" applyNumberFormat="1" applyFont="1" applyBorder="1" applyAlignment="1" applyProtection="1">
      <alignment horizontal="center" vertical="center" wrapText="1"/>
    </xf>
    <xf numFmtId="49" fontId="27" fillId="0" borderId="35" xfId="2" applyNumberFormat="1" applyFont="1" applyBorder="1" applyAlignment="1" applyProtection="1">
      <alignment horizontal="center" vertical="center" wrapText="1"/>
    </xf>
    <xf numFmtId="49" fontId="27" fillId="0" borderId="2" xfId="2" applyNumberFormat="1" applyFont="1" applyBorder="1" applyAlignment="1" applyProtection="1">
      <alignment horizontal="center" vertical="center" wrapText="1"/>
    </xf>
    <xf numFmtId="49" fontId="27" fillId="0" borderId="31" xfId="2" applyNumberFormat="1" applyFont="1" applyBorder="1" applyAlignment="1" applyProtection="1">
      <alignment horizontal="center" vertical="center" wrapText="1"/>
    </xf>
    <xf numFmtId="49" fontId="27" fillId="0" borderId="22" xfId="2" applyNumberFormat="1" applyFont="1" applyFill="1" applyBorder="1" applyAlignment="1" applyProtection="1">
      <alignment horizontal="center" vertical="center" wrapText="1"/>
    </xf>
    <xf numFmtId="49" fontId="27" fillId="0" borderId="27" xfId="2" applyNumberFormat="1" applyFont="1" applyFill="1" applyBorder="1" applyAlignment="1" applyProtection="1">
      <alignment horizontal="center" vertical="center" wrapText="1"/>
    </xf>
    <xf numFmtId="49" fontId="27" fillId="0" borderId="38" xfId="2" applyNumberFormat="1" applyFont="1" applyFill="1" applyBorder="1" applyAlignment="1" applyProtection="1">
      <alignment horizontal="center" vertical="center" wrapText="1"/>
    </xf>
    <xf numFmtId="49" fontId="27" fillId="0" borderId="30" xfId="2" applyNumberFormat="1" applyFont="1" applyFill="1" applyBorder="1" applyAlignment="1" applyProtection="1">
      <alignment horizontal="center" vertical="center" wrapText="1"/>
    </xf>
    <xf numFmtId="49" fontId="27" fillId="0" borderId="0" xfId="2" applyNumberFormat="1" applyFont="1" applyFill="1" applyBorder="1" applyAlignment="1" applyProtection="1">
      <alignment horizontal="center" vertical="center" wrapText="1"/>
    </xf>
    <xf numFmtId="49" fontId="27" fillId="0" borderId="35" xfId="2" applyNumberFormat="1" applyFont="1" applyFill="1" applyBorder="1" applyAlignment="1" applyProtection="1">
      <alignment horizontal="center" vertical="center" wrapText="1"/>
    </xf>
    <xf numFmtId="49" fontId="27" fillId="0" borderId="26" xfId="2" applyNumberFormat="1" applyFont="1" applyFill="1" applyBorder="1" applyAlignment="1" applyProtection="1">
      <alignment horizontal="center" vertical="center" wrapText="1"/>
    </xf>
    <xf numFmtId="49" fontId="27" fillId="0" borderId="2" xfId="2" applyNumberFormat="1" applyFont="1" applyFill="1" applyBorder="1" applyAlignment="1" applyProtection="1">
      <alignment horizontal="center" vertical="center" wrapText="1"/>
    </xf>
    <xf numFmtId="49" fontId="27" fillId="0" borderId="31" xfId="2" applyNumberFormat="1" applyFont="1" applyFill="1" applyBorder="1" applyAlignment="1" applyProtection="1">
      <alignment horizontal="center" vertical="center" wrapText="1"/>
    </xf>
    <xf numFmtId="164" fontId="27" fillId="2" borderId="19" xfId="2" applyNumberFormat="1" applyFont="1" applyFill="1" applyBorder="1" applyAlignment="1" applyProtection="1"/>
    <xf numFmtId="49" fontId="27" fillId="0" borderId="38" xfId="2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</cellXfs>
  <cellStyles count="45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38"/>
    <cellStyle name="Обычный 3" xfId="2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4"/>
  <sheetViews>
    <sheetView tabSelected="1" view="pageBreakPreview" topLeftCell="N95" zoomScale="140" zoomScaleSheetLayoutView="140" workbookViewId="0">
      <selection activeCell="BR19" sqref="BR19:CL19"/>
    </sheetView>
  </sheetViews>
  <sheetFormatPr defaultColWidth="0.85546875" defaultRowHeight="11.25"/>
  <cols>
    <col min="1" max="65" width="0.85546875" style="46"/>
    <col min="66" max="66" width="1.28515625" style="46" customWidth="1"/>
    <col min="67" max="67" width="2.28515625" style="46" customWidth="1"/>
    <col min="68" max="68" width="3" style="46" customWidth="1"/>
    <col min="69" max="69" width="1" style="46" customWidth="1"/>
    <col min="70" max="90" width="0.85546875" style="46"/>
    <col min="91" max="91" width="2.7109375" style="46" bestFit="1" customWidth="1"/>
    <col min="92" max="149" width="0.85546875" style="46"/>
    <col min="150" max="150" width="0.85546875" style="46" customWidth="1"/>
    <col min="151" max="151" width="2.7109375" style="46" customWidth="1"/>
    <col min="152" max="165" width="0.85546875" style="46"/>
    <col min="166" max="166" width="4.85546875" style="46" customWidth="1"/>
    <col min="167" max="16384" width="0.85546875" style="46"/>
  </cols>
  <sheetData>
    <row r="1" spans="1:256">
      <c r="FJ1" s="66" t="s">
        <v>280</v>
      </c>
    </row>
    <row r="2" spans="1:256" s="65" customFormat="1" ht="15" customHeight="1">
      <c r="A2" s="258" t="s">
        <v>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46"/>
      <c r="ES2" s="46"/>
      <c r="ET2" s="181" t="s">
        <v>1</v>
      </c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  <c r="IU2" s="46"/>
      <c r="IV2" s="46"/>
    </row>
    <row r="3" spans="1:256" s="65" customFormat="1" ht="15" customHeight="1">
      <c r="A3" s="182" t="s">
        <v>279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82"/>
      <c r="DM3" s="182"/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  <c r="DZ3" s="182"/>
      <c r="EA3" s="182"/>
      <c r="EB3" s="182"/>
      <c r="EC3" s="182"/>
      <c r="ED3" s="183" t="s">
        <v>278</v>
      </c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1">
        <v>503127</v>
      </c>
      <c r="EU3" s="181"/>
      <c r="EV3" s="181"/>
      <c r="EW3" s="181"/>
      <c r="EX3" s="181"/>
      <c r="EY3" s="181"/>
      <c r="EZ3" s="181"/>
      <c r="FA3" s="181"/>
      <c r="FB3" s="181"/>
      <c r="FC3" s="181"/>
      <c r="FD3" s="181"/>
      <c r="FE3" s="181"/>
      <c r="FF3" s="181"/>
      <c r="FG3" s="181"/>
      <c r="FH3" s="181"/>
      <c r="FI3" s="181"/>
      <c r="FJ3" s="181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</row>
    <row r="4" spans="1:256" s="65" customFormat="1" ht="29.25" customHeight="1" thickBot="1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46"/>
      <c r="ES4" s="46"/>
      <c r="ET4" s="18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</row>
    <row r="5" spans="1:256" ht="15" customHeight="1">
      <c r="A5" s="179" t="s">
        <v>277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EM5" s="178" t="s">
        <v>276</v>
      </c>
      <c r="EN5" s="178"/>
      <c r="EO5" s="178"/>
      <c r="EP5" s="178"/>
      <c r="EQ5" s="178"/>
      <c r="ET5" s="186" t="s">
        <v>275</v>
      </c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6"/>
      <c r="FG5" s="186"/>
      <c r="FH5" s="186"/>
      <c r="FI5" s="186"/>
      <c r="FJ5" s="186"/>
    </row>
    <row r="6" spans="1:256" ht="15" customHeight="1">
      <c r="A6" s="178" t="s">
        <v>274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  <c r="BN6" s="178"/>
      <c r="BO6" s="178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70"/>
      <c r="CF6" s="70"/>
      <c r="CG6" s="70"/>
      <c r="CH6" s="70"/>
      <c r="CI6" s="70"/>
      <c r="CJ6" s="67"/>
      <c r="CK6" s="67"/>
      <c r="EJ6" s="178" t="s">
        <v>273</v>
      </c>
      <c r="EK6" s="178"/>
      <c r="EL6" s="178"/>
      <c r="EM6" s="178"/>
      <c r="EN6" s="178"/>
      <c r="EO6" s="178"/>
      <c r="EP6" s="178"/>
      <c r="EQ6" s="178"/>
      <c r="ET6" s="184" t="s">
        <v>6</v>
      </c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</row>
    <row r="7" spans="1:256" ht="15" customHeight="1">
      <c r="A7" s="178" t="s">
        <v>272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69"/>
      <c r="BD7" s="69"/>
      <c r="BE7" s="69"/>
      <c r="BF7" s="180" t="s">
        <v>5</v>
      </c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H7" s="178" t="s">
        <v>271</v>
      </c>
      <c r="EI7" s="178"/>
      <c r="EJ7" s="178"/>
      <c r="EK7" s="178"/>
      <c r="EL7" s="178"/>
      <c r="EM7" s="178"/>
      <c r="EN7" s="178"/>
      <c r="EO7" s="178"/>
      <c r="EP7" s="178"/>
      <c r="EQ7" s="178"/>
      <c r="ER7" s="178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187"/>
      <c r="FE7" s="187"/>
      <c r="FF7" s="187"/>
      <c r="FG7" s="187"/>
      <c r="FH7" s="187"/>
      <c r="FI7" s="187"/>
      <c r="FJ7" s="187"/>
    </row>
    <row r="8" spans="1:256" ht="15" customHeight="1"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H8" s="178" t="s">
        <v>2</v>
      </c>
      <c r="EI8" s="178"/>
      <c r="EJ8" s="178"/>
      <c r="EK8" s="178"/>
      <c r="EL8" s="178"/>
      <c r="EM8" s="178"/>
      <c r="EN8" s="178"/>
      <c r="EO8" s="178"/>
      <c r="EP8" s="178"/>
      <c r="EQ8" s="178"/>
      <c r="ER8" s="178"/>
      <c r="ET8" s="184" t="s">
        <v>8</v>
      </c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</row>
    <row r="9" spans="1:256" ht="15" customHeight="1">
      <c r="A9" s="179" t="s">
        <v>270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</row>
    <row r="10" spans="1:256" ht="15" customHeight="1" thickBot="1">
      <c r="A10" s="179" t="s">
        <v>269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EQ10" s="66" t="s">
        <v>268</v>
      </c>
      <c r="ET10" s="260">
        <v>383</v>
      </c>
      <c r="EU10" s="260"/>
      <c r="EV10" s="260"/>
      <c r="EW10" s="260"/>
      <c r="EX10" s="260"/>
      <c r="EY10" s="260"/>
      <c r="EZ10" s="260"/>
      <c r="FA10" s="260"/>
      <c r="FB10" s="260"/>
      <c r="FC10" s="260"/>
      <c r="FD10" s="260"/>
      <c r="FE10" s="260"/>
      <c r="FF10" s="260"/>
      <c r="FG10" s="260"/>
      <c r="FH10" s="260"/>
      <c r="FI10" s="260"/>
      <c r="FJ10" s="260"/>
    </row>
    <row r="11" spans="1:256">
      <c r="A11" s="179" t="s">
        <v>267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</row>
    <row r="12" spans="1:256" s="65" customFormat="1" ht="24" customHeight="1">
      <c r="A12" s="258" t="s">
        <v>266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  <c r="BY12" s="258"/>
      <c r="BZ12" s="258"/>
      <c r="CA12" s="258"/>
      <c r="CB12" s="258"/>
      <c r="CC12" s="258"/>
      <c r="CD12" s="258"/>
      <c r="CE12" s="258"/>
      <c r="CF12" s="258"/>
      <c r="CG12" s="258"/>
      <c r="CH12" s="258"/>
      <c r="CI12" s="258"/>
      <c r="CJ12" s="258"/>
      <c r="CK12" s="258"/>
      <c r="CL12" s="258"/>
      <c r="CM12" s="258"/>
      <c r="CN12" s="258"/>
      <c r="CO12" s="258"/>
      <c r="CP12" s="258"/>
      <c r="CQ12" s="258"/>
      <c r="CR12" s="258"/>
      <c r="CS12" s="258"/>
      <c r="CT12" s="258"/>
      <c r="CU12" s="258"/>
      <c r="CV12" s="258"/>
      <c r="CW12" s="258"/>
      <c r="CX12" s="258"/>
      <c r="CY12" s="258"/>
      <c r="CZ12" s="258"/>
      <c r="DA12" s="258"/>
      <c r="DB12" s="258"/>
      <c r="DC12" s="258"/>
      <c r="DD12" s="258"/>
      <c r="DE12" s="258"/>
      <c r="DF12" s="258"/>
      <c r="DG12" s="258"/>
      <c r="DH12" s="258"/>
      <c r="DI12" s="258"/>
      <c r="DJ12" s="258"/>
      <c r="DK12" s="258"/>
      <c r="DL12" s="258"/>
      <c r="DM12" s="258"/>
      <c r="DN12" s="258"/>
      <c r="DO12" s="258"/>
      <c r="DP12" s="258"/>
      <c r="DQ12" s="258"/>
      <c r="DR12" s="258"/>
      <c r="DS12" s="258"/>
      <c r="DT12" s="258"/>
      <c r="DU12" s="258"/>
      <c r="DV12" s="258"/>
      <c r="DW12" s="258"/>
      <c r="DX12" s="258"/>
      <c r="DY12" s="258"/>
      <c r="DZ12" s="258"/>
      <c r="EA12" s="258"/>
      <c r="EB12" s="258"/>
      <c r="EC12" s="258"/>
      <c r="ED12" s="258"/>
      <c r="EE12" s="258"/>
      <c r="EF12" s="258"/>
      <c r="EG12" s="258"/>
      <c r="EH12" s="258"/>
      <c r="EI12" s="258"/>
      <c r="EJ12" s="258"/>
      <c r="EK12" s="258"/>
      <c r="EL12" s="258"/>
      <c r="EM12" s="258"/>
      <c r="EN12" s="258"/>
      <c r="EO12" s="258"/>
      <c r="EP12" s="258"/>
      <c r="EQ12" s="258"/>
      <c r="ER12" s="258"/>
      <c r="ES12" s="258"/>
      <c r="ET12" s="258"/>
      <c r="EU12" s="258"/>
      <c r="EV12" s="258"/>
      <c r="EW12" s="258"/>
      <c r="EX12" s="258"/>
      <c r="EY12" s="258"/>
      <c r="EZ12" s="258"/>
      <c r="FA12" s="258"/>
      <c r="FB12" s="258"/>
      <c r="FC12" s="258"/>
      <c r="FD12" s="258"/>
      <c r="FE12" s="258"/>
      <c r="FF12" s="258"/>
      <c r="FG12" s="258"/>
      <c r="FH12" s="258"/>
      <c r="FI12" s="258"/>
      <c r="FJ12" s="258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</row>
    <row r="13" spans="1:256" ht="12.75" hidden="1" customHeight="1"/>
    <row r="14" spans="1:256" s="64" customFormat="1" ht="11.25" customHeight="1">
      <c r="A14" s="261" t="s">
        <v>265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2"/>
      <c r="AN14" s="265" t="s">
        <v>264</v>
      </c>
      <c r="AO14" s="261"/>
      <c r="AP14" s="261"/>
      <c r="AQ14" s="261"/>
      <c r="AR14" s="261"/>
      <c r="AS14" s="262"/>
      <c r="AT14" s="265" t="s">
        <v>263</v>
      </c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2"/>
      <c r="BR14" s="265" t="s">
        <v>11</v>
      </c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2"/>
      <c r="CM14" s="253" t="s">
        <v>12</v>
      </c>
      <c r="CN14" s="253"/>
      <c r="CO14" s="253"/>
      <c r="CP14" s="253"/>
      <c r="CQ14" s="253"/>
      <c r="CR14" s="253"/>
      <c r="CS14" s="253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3"/>
      <c r="DE14" s="253"/>
      <c r="DF14" s="253"/>
      <c r="DG14" s="253"/>
      <c r="DH14" s="253"/>
      <c r="DI14" s="253"/>
      <c r="DJ14" s="253"/>
      <c r="DK14" s="253"/>
      <c r="DL14" s="253"/>
      <c r="DM14" s="253"/>
      <c r="DN14" s="253"/>
      <c r="DO14" s="253"/>
      <c r="DP14" s="253"/>
      <c r="DQ14" s="253"/>
      <c r="DR14" s="253"/>
      <c r="DS14" s="253"/>
      <c r="DT14" s="253"/>
      <c r="DU14" s="253"/>
      <c r="DV14" s="253"/>
      <c r="DW14" s="253"/>
      <c r="DX14" s="253"/>
      <c r="DY14" s="253"/>
      <c r="DZ14" s="253"/>
      <c r="EA14" s="253"/>
      <c r="EB14" s="253"/>
      <c r="EC14" s="253"/>
      <c r="ED14" s="253"/>
      <c r="EE14" s="253"/>
      <c r="EF14" s="253"/>
      <c r="EG14" s="253"/>
      <c r="EH14" s="253"/>
      <c r="EI14" s="253"/>
      <c r="EJ14" s="253"/>
      <c r="EK14" s="253"/>
      <c r="EL14" s="253"/>
      <c r="EM14" s="253"/>
      <c r="EN14" s="253"/>
      <c r="EO14" s="253"/>
      <c r="EP14" s="253"/>
      <c r="EQ14" s="253"/>
      <c r="ER14" s="253"/>
      <c r="ES14" s="253"/>
      <c r="ET14" s="253"/>
      <c r="EU14" s="253"/>
      <c r="EV14" s="251" t="s">
        <v>13</v>
      </c>
      <c r="EW14" s="251"/>
      <c r="EX14" s="251"/>
      <c r="EY14" s="251"/>
      <c r="EZ14" s="251"/>
      <c r="FA14" s="251"/>
      <c r="FB14" s="251"/>
      <c r="FC14" s="251"/>
      <c r="FD14" s="251"/>
      <c r="FE14" s="251"/>
      <c r="FF14" s="251"/>
      <c r="FG14" s="251"/>
      <c r="FH14" s="251"/>
      <c r="FI14" s="251"/>
      <c r="FJ14" s="251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</row>
    <row r="15" spans="1:256" s="64" customFormat="1" ht="65.25" customHeight="1">
      <c r="A15" s="263"/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4"/>
      <c r="AN15" s="266"/>
      <c r="AO15" s="263"/>
      <c r="AP15" s="263"/>
      <c r="AQ15" s="263"/>
      <c r="AR15" s="263"/>
      <c r="AS15" s="264"/>
      <c r="AT15" s="266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4"/>
      <c r="BR15" s="266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4"/>
      <c r="CM15" s="252" t="s">
        <v>262</v>
      </c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3" t="s">
        <v>261</v>
      </c>
      <c r="DD15" s="253"/>
      <c r="DE15" s="253"/>
      <c r="DF15" s="253"/>
      <c r="DG15" s="253"/>
      <c r="DH15" s="253"/>
      <c r="DI15" s="253"/>
      <c r="DJ15" s="253"/>
      <c r="DK15" s="253"/>
      <c r="DL15" s="253"/>
      <c r="DM15" s="253"/>
      <c r="DN15" s="253"/>
      <c r="DO15" s="253"/>
      <c r="DP15" s="253"/>
      <c r="DQ15" s="253"/>
      <c r="DR15" s="253" t="s">
        <v>260</v>
      </c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3" t="s">
        <v>259</v>
      </c>
      <c r="EH15" s="253"/>
      <c r="EI15" s="253"/>
      <c r="EJ15" s="253"/>
      <c r="EK15" s="253"/>
      <c r="EL15" s="253"/>
      <c r="EM15" s="253"/>
      <c r="EN15" s="253"/>
      <c r="EO15" s="253"/>
      <c r="EP15" s="253"/>
      <c r="EQ15" s="253"/>
      <c r="ER15" s="253"/>
      <c r="ES15" s="253"/>
      <c r="ET15" s="253"/>
      <c r="EU15" s="253"/>
      <c r="EV15" s="251"/>
      <c r="EW15" s="251"/>
      <c r="EX15" s="251"/>
      <c r="EY15" s="251"/>
      <c r="EZ15" s="251"/>
      <c r="FA15" s="251"/>
      <c r="FB15" s="251"/>
      <c r="FC15" s="251"/>
      <c r="FD15" s="251"/>
      <c r="FE15" s="251"/>
      <c r="FF15" s="251"/>
      <c r="FG15" s="251"/>
      <c r="FH15" s="251"/>
      <c r="FI15" s="251"/>
      <c r="FJ15" s="251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</row>
    <row r="16" spans="1:256" s="63" customFormat="1" ht="13.5" thickBot="1">
      <c r="A16" s="248">
        <v>1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59">
        <v>2</v>
      </c>
      <c r="AO16" s="259"/>
      <c r="AP16" s="259"/>
      <c r="AQ16" s="259"/>
      <c r="AR16" s="259"/>
      <c r="AS16" s="259"/>
      <c r="AT16" s="259">
        <v>3</v>
      </c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>
        <v>4</v>
      </c>
      <c r="BS16" s="259"/>
      <c r="BT16" s="259"/>
      <c r="BU16" s="259"/>
      <c r="BV16" s="259"/>
      <c r="BW16" s="259"/>
      <c r="BX16" s="259"/>
      <c r="BY16" s="259"/>
      <c r="BZ16" s="259"/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59"/>
      <c r="CM16" s="259">
        <v>5</v>
      </c>
      <c r="CN16" s="259"/>
      <c r="CO16" s="259"/>
      <c r="CP16" s="259"/>
      <c r="CQ16" s="259"/>
      <c r="CR16" s="259"/>
      <c r="CS16" s="259"/>
      <c r="CT16" s="259"/>
      <c r="CU16" s="259"/>
      <c r="CV16" s="259"/>
      <c r="CW16" s="259"/>
      <c r="CX16" s="259"/>
      <c r="CY16" s="259"/>
      <c r="CZ16" s="259"/>
      <c r="DA16" s="259"/>
      <c r="DB16" s="259"/>
      <c r="DC16" s="259">
        <v>6</v>
      </c>
      <c r="DD16" s="259"/>
      <c r="DE16" s="259"/>
      <c r="DF16" s="259"/>
      <c r="DG16" s="259"/>
      <c r="DH16" s="259"/>
      <c r="DI16" s="259"/>
      <c r="DJ16" s="259"/>
      <c r="DK16" s="259"/>
      <c r="DL16" s="259"/>
      <c r="DM16" s="259"/>
      <c r="DN16" s="259"/>
      <c r="DO16" s="259"/>
      <c r="DP16" s="259"/>
      <c r="DQ16" s="259"/>
      <c r="DR16" s="259">
        <v>7</v>
      </c>
      <c r="DS16" s="259"/>
      <c r="DT16" s="259"/>
      <c r="DU16" s="259"/>
      <c r="DV16" s="259"/>
      <c r="DW16" s="259"/>
      <c r="DX16" s="259"/>
      <c r="DY16" s="259"/>
      <c r="DZ16" s="259"/>
      <c r="EA16" s="259"/>
      <c r="EB16" s="259"/>
      <c r="EC16" s="259"/>
      <c r="ED16" s="259"/>
      <c r="EE16" s="259"/>
      <c r="EF16" s="259"/>
      <c r="EG16" s="259">
        <v>8</v>
      </c>
      <c r="EH16" s="259"/>
      <c r="EI16" s="259"/>
      <c r="EJ16" s="259"/>
      <c r="EK16" s="259"/>
      <c r="EL16" s="259"/>
      <c r="EM16" s="259"/>
      <c r="EN16" s="259"/>
      <c r="EO16" s="259"/>
      <c r="EP16" s="259"/>
      <c r="EQ16" s="259"/>
      <c r="ER16" s="259"/>
      <c r="ES16" s="259"/>
      <c r="ET16" s="259"/>
      <c r="EU16" s="259"/>
      <c r="EV16" s="254">
        <v>9</v>
      </c>
      <c r="EW16" s="254"/>
      <c r="EX16" s="254"/>
      <c r="EY16" s="254"/>
      <c r="EZ16" s="254"/>
      <c r="FA16" s="254"/>
      <c r="FB16" s="254"/>
      <c r="FC16" s="254"/>
      <c r="FD16" s="254"/>
      <c r="FE16" s="254"/>
      <c r="FF16" s="254"/>
      <c r="FG16" s="254"/>
      <c r="FH16" s="254"/>
      <c r="FI16" s="254"/>
      <c r="FJ16" s="254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</row>
    <row r="17" spans="1:256" s="61" customFormat="1" ht="18.75" customHeight="1" thickBot="1">
      <c r="A17" s="274" t="s">
        <v>258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55"/>
      <c r="AO17" s="255"/>
      <c r="AP17" s="255"/>
      <c r="AQ17" s="255"/>
      <c r="AR17" s="255"/>
      <c r="AS17" s="255"/>
      <c r="AT17" s="256" t="s">
        <v>257</v>
      </c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6"/>
      <c r="BJ17" s="256"/>
      <c r="BK17" s="256"/>
      <c r="BL17" s="256"/>
      <c r="BM17" s="256"/>
      <c r="BN17" s="256"/>
      <c r="BO17" s="256"/>
      <c r="BP17" s="256"/>
      <c r="BQ17" s="256"/>
      <c r="BR17" s="267">
        <f>BR18+BR31+BR42+BR62+BR69+BR74</f>
        <v>8484100</v>
      </c>
      <c r="BS17" s="267"/>
      <c r="BT17" s="267"/>
      <c r="BU17" s="267"/>
      <c r="BV17" s="267"/>
      <c r="BW17" s="267"/>
      <c r="BX17" s="267"/>
      <c r="BY17" s="267"/>
      <c r="BZ17" s="267"/>
      <c r="CA17" s="267"/>
      <c r="CB17" s="267"/>
      <c r="CC17" s="267"/>
      <c r="CD17" s="267"/>
      <c r="CE17" s="267"/>
      <c r="CF17" s="267"/>
      <c r="CG17" s="267"/>
      <c r="CH17" s="267"/>
      <c r="CI17" s="267"/>
      <c r="CJ17" s="267"/>
      <c r="CK17" s="267"/>
      <c r="CL17" s="267"/>
      <c r="CM17" s="267">
        <f>CM18+CM31+CM42+CM62+CM69+CM83+CM74+CM71</f>
        <v>9704896.7300000004</v>
      </c>
      <c r="CN17" s="267"/>
      <c r="CO17" s="267"/>
      <c r="CP17" s="267"/>
      <c r="CQ17" s="267"/>
      <c r="CR17" s="267"/>
      <c r="CS17" s="267"/>
      <c r="CT17" s="267"/>
      <c r="CU17" s="267"/>
      <c r="CV17" s="267"/>
      <c r="CW17" s="267"/>
      <c r="CX17" s="267"/>
      <c r="CY17" s="267"/>
      <c r="CZ17" s="267"/>
      <c r="DA17" s="267"/>
      <c r="DB17" s="267"/>
      <c r="DC17" s="267">
        <v>0</v>
      </c>
      <c r="DD17" s="267"/>
      <c r="DE17" s="267"/>
      <c r="DF17" s="267"/>
      <c r="DG17" s="267"/>
      <c r="DH17" s="267"/>
      <c r="DI17" s="267"/>
      <c r="DJ17" s="267"/>
      <c r="DK17" s="267"/>
      <c r="DL17" s="267"/>
      <c r="DM17" s="267"/>
      <c r="DN17" s="267"/>
      <c r="DO17" s="267"/>
      <c r="DP17" s="267"/>
      <c r="DQ17" s="267"/>
      <c r="DR17" s="268">
        <v>0</v>
      </c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7">
        <f t="shared" ref="EG17:EG46" si="0">CM17</f>
        <v>9704896.7300000004</v>
      </c>
      <c r="EH17" s="267"/>
      <c r="EI17" s="267"/>
      <c r="EJ17" s="267"/>
      <c r="EK17" s="267"/>
      <c r="EL17" s="267"/>
      <c r="EM17" s="267"/>
      <c r="EN17" s="267"/>
      <c r="EO17" s="267"/>
      <c r="EP17" s="267"/>
      <c r="EQ17" s="267"/>
      <c r="ER17" s="267"/>
      <c r="ES17" s="267"/>
      <c r="ET17" s="267"/>
      <c r="EU17" s="267"/>
      <c r="EV17" s="269">
        <f t="shared" ref="EV17:EV29" si="1">BR17-EG17</f>
        <v>-1220796.7300000004</v>
      </c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</row>
    <row r="18" spans="1:256" s="56" customFormat="1" ht="12.75" customHeight="1" thickBot="1">
      <c r="A18" s="270" t="s">
        <v>256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2"/>
      <c r="AO18" s="272"/>
      <c r="AP18" s="272"/>
      <c r="AQ18" s="272"/>
      <c r="AR18" s="272"/>
      <c r="AS18" s="272"/>
      <c r="AT18" s="273" t="s">
        <v>255</v>
      </c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3"/>
      <c r="BQ18" s="273"/>
      <c r="BR18" s="195">
        <f>BR19</f>
        <v>497800</v>
      </c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>
        <f>CM19</f>
        <v>976883.10000000009</v>
      </c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>
        <v>0</v>
      </c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>
        <v>0</v>
      </c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>
        <f t="shared" si="0"/>
        <v>976883.10000000009</v>
      </c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88">
        <f t="shared" si="1"/>
        <v>-479083.10000000009</v>
      </c>
      <c r="EW18" s="188"/>
      <c r="EX18" s="188"/>
      <c r="EY18" s="188"/>
      <c r="EZ18" s="188"/>
      <c r="FA18" s="188"/>
      <c r="FB18" s="188"/>
      <c r="FC18" s="188"/>
      <c r="FD18" s="188"/>
      <c r="FE18" s="188"/>
      <c r="FF18" s="188"/>
      <c r="FG18" s="188"/>
      <c r="FH18" s="188"/>
      <c r="FI18" s="188"/>
      <c r="FJ18" s="189"/>
    </row>
    <row r="19" spans="1:256" s="56" customFormat="1" ht="14.25" customHeight="1">
      <c r="A19" s="406" t="s">
        <v>18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6"/>
      <c r="AF19" s="406"/>
      <c r="AG19" s="406"/>
      <c r="AH19" s="406"/>
      <c r="AI19" s="406"/>
      <c r="AJ19" s="406"/>
      <c r="AK19" s="406"/>
      <c r="AL19" s="406"/>
      <c r="AM19" s="406"/>
      <c r="AN19" s="200"/>
      <c r="AO19" s="200"/>
      <c r="AP19" s="200"/>
      <c r="AQ19" s="200"/>
      <c r="AR19" s="200"/>
      <c r="AS19" s="200"/>
      <c r="AT19" s="201" t="s">
        <v>254</v>
      </c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  <c r="BJ19" s="201"/>
      <c r="BK19" s="201"/>
      <c r="BL19" s="201"/>
      <c r="BM19" s="201"/>
      <c r="BN19" s="201"/>
      <c r="BO19" s="201"/>
      <c r="BP19" s="201"/>
      <c r="BQ19" s="201"/>
      <c r="BR19" s="202">
        <f>BR20</f>
        <v>497800</v>
      </c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>
        <f>CM20+CM27+CM25</f>
        <v>976883.10000000009</v>
      </c>
      <c r="CN19" s="202"/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>
        <v>0</v>
      </c>
      <c r="DD19" s="202"/>
      <c r="DE19" s="202"/>
      <c r="DF19" s="202"/>
      <c r="DG19" s="202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202">
        <v>0</v>
      </c>
      <c r="DS19" s="202"/>
      <c r="DT19" s="202"/>
      <c r="DU19" s="202"/>
      <c r="DV19" s="202"/>
      <c r="DW19" s="202"/>
      <c r="DX19" s="202"/>
      <c r="DY19" s="202"/>
      <c r="DZ19" s="202"/>
      <c r="EA19" s="202"/>
      <c r="EB19" s="202"/>
      <c r="EC19" s="202"/>
      <c r="ED19" s="202"/>
      <c r="EE19" s="202"/>
      <c r="EF19" s="202"/>
      <c r="EG19" s="202">
        <f t="shared" si="0"/>
        <v>976883.10000000009</v>
      </c>
      <c r="EH19" s="202"/>
      <c r="EI19" s="202"/>
      <c r="EJ19" s="202"/>
      <c r="EK19" s="202"/>
      <c r="EL19" s="202"/>
      <c r="EM19" s="202"/>
      <c r="EN19" s="202"/>
      <c r="EO19" s="202"/>
      <c r="EP19" s="202"/>
      <c r="EQ19" s="202"/>
      <c r="ER19" s="202"/>
      <c r="ES19" s="202"/>
      <c r="ET19" s="202"/>
      <c r="EU19" s="202"/>
      <c r="EV19" s="216">
        <f t="shared" si="1"/>
        <v>-479083.10000000009</v>
      </c>
      <c r="EW19" s="216"/>
      <c r="EX19" s="216"/>
      <c r="EY19" s="216"/>
      <c r="EZ19" s="216"/>
      <c r="FA19" s="216"/>
      <c r="FB19" s="216"/>
      <c r="FC19" s="216"/>
      <c r="FD19" s="216"/>
      <c r="FE19" s="216"/>
      <c r="FF19" s="216"/>
      <c r="FG19" s="216"/>
      <c r="FH19" s="216"/>
      <c r="FI19" s="216"/>
      <c r="FJ19" s="216"/>
    </row>
    <row r="20" spans="1:256" s="57" customFormat="1" ht="12.75" customHeight="1">
      <c r="A20" s="275" t="s">
        <v>18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6"/>
      <c r="AO20" s="276"/>
      <c r="AP20" s="276"/>
      <c r="AQ20" s="276"/>
      <c r="AR20" s="276"/>
      <c r="AS20" s="276"/>
      <c r="AT20" s="190" t="s">
        <v>253</v>
      </c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1">
        <v>497800</v>
      </c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>
        <f>CM21+CM22+CM23+CM24</f>
        <v>989343.8</v>
      </c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>
        <v>0</v>
      </c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>
        <v>0</v>
      </c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>
        <f t="shared" si="0"/>
        <v>989343.8</v>
      </c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220">
        <f t="shared" si="1"/>
        <v>-491543.80000000005</v>
      </c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</row>
    <row r="21" spans="1:256" s="57" customFormat="1" ht="12.75" customHeight="1">
      <c r="A21" s="417" t="s">
        <v>18</v>
      </c>
      <c r="B21" s="417"/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  <c r="AC21" s="417"/>
      <c r="AD21" s="417"/>
      <c r="AE21" s="417"/>
      <c r="AF21" s="417"/>
      <c r="AG21" s="417"/>
      <c r="AH21" s="417"/>
      <c r="AI21" s="417"/>
      <c r="AJ21" s="417"/>
      <c r="AK21" s="417"/>
      <c r="AL21" s="417"/>
      <c r="AM21" s="418"/>
      <c r="AN21" s="419"/>
      <c r="AO21" s="420"/>
      <c r="AP21" s="420"/>
      <c r="AQ21" s="420"/>
      <c r="AR21" s="420"/>
      <c r="AS21" s="421"/>
      <c r="AT21" s="422" t="s">
        <v>252</v>
      </c>
      <c r="AU21" s="420"/>
      <c r="AV21" s="420"/>
      <c r="AW21" s="420"/>
      <c r="AX21" s="420"/>
      <c r="AY21" s="420"/>
      <c r="AZ21" s="420"/>
      <c r="BA21" s="420"/>
      <c r="BB21" s="420"/>
      <c r="BC21" s="420"/>
      <c r="BD21" s="420"/>
      <c r="BE21" s="420"/>
      <c r="BF21" s="420"/>
      <c r="BG21" s="420"/>
      <c r="BH21" s="420"/>
      <c r="BI21" s="420"/>
      <c r="BJ21" s="420"/>
      <c r="BK21" s="420"/>
      <c r="BL21" s="420"/>
      <c r="BM21" s="420"/>
      <c r="BN21" s="420"/>
      <c r="BO21" s="420"/>
      <c r="BP21" s="420"/>
      <c r="BQ21" s="421"/>
      <c r="BR21" s="174">
        <v>0</v>
      </c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6"/>
      <c r="CM21" s="174">
        <f>781897.95+201527.06</f>
        <v>983425.01</v>
      </c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6"/>
      <c r="DC21" s="174">
        <v>0</v>
      </c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6"/>
      <c r="DR21" s="174">
        <v>0</v>
      </c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6"/>
      <c r="EG21" s="174">
        <f t="shared" si="0"/>
        <v>983425.01</v>
      </c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6"/>
      <c r="EV21" s="174">
        <f t="shared" si="1"/>
        <v>-983425.01</v>
      </c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7"/>
    </row>
    <row r="22" spans="1:256" s="57" customFormat="1" ht="12.75" customHeight="1">
      <c r="A22" s="417" t="s">
        <v>18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7"/>
      <c r="AI22" s="417"/>
      <c r="AJ22" s="417"/>
      <c r="AK22" s="417"/>
      <c r="AL22" s="417"/>
      <c r="AM22" s="418"/>
      <c r="AN22" s="419"/>
      <c r="AO22" s="420"/>
      <c r="AP22" s="420"/>
      <c r="AQ22" s="420"/>
      <c r="AR22" s="420"/>
      <c r="AS22" s="421"/>
      <c r="AT22" s="422" t="s">
        <v>251</v>
      </c>
      <c r="AU22" s="420"/>
      <c r="AV22" s="420"/>
      <c r="AW22" s="420"/>
      <c r="AX22" s="420"/>
      <c r="AY22" s="420"/>
      <c r="AZ22" s="420"/>
      <c r="BA22" s="420"/>
      <c r="BB22" s="420"/>
      <c r="BC22" s="420"/>
      <c r="BD22" s="420"/>
      <c r="BE22" s="420"/>
      <c r="BF22" s="420"/>
      <c r="BG22" s="420"/>
      <c r="BH22" s="420"/>
      <c r="BI22" s="420"/>
      <c r="BJ22" s="420"/>
      <c r="BK22" s="420"/>
      <c r="BL22" s="420"/>
      <c r="BM22" s="420"/>
      <c r="BN22" s="420"/>
      <c r="BO22" s="420"/>
      <c r="BP22" s="420"/>
      <c r="BQ22" s="421"/>
      <c r="BR22" s="174">
        <v>0</v>
      </c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6"/>
      <c r="CM22" s="174">
        <f>2240.85+894.56</f>
        <v>3135.41</v>
      </c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6"/>
      <c r="DC22" s="174">
        <v>0</v>
      </c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6"/>
      <c r="DR22" s="174">
        <v>0</v>
      </c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6"/>
      <c r="EG22" s="174">
        <f t="shared" si="0"/>
        <v>3135.41</v>
      </c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6"/>
      <c r="EV22" s="174">
        <f t="shared" si="1"/>
        <v>-3135.41</v>
      </c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7"/>
    </row>
    <row r="23" spans="1:256" s="57" customFormat="1" ht="12.75" customHeight="1">
      <c r="A23" s="417" t="s">
        <v>18</v>
      </c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7"/>
      <c r="AI23" s="417"/>
      <c r="AJ23" s="417"/>
      <c r="AK23" s="417"/>
      <c r="AL23" s="417"/>
      <c r="AM23" s="418"/>
      <c r="AN23" s="419"/>
      <c r="AO23" s="420"/>
      <c r="AP23" s="420"/>
      <c r="AQ23" s="420"/>
      <c r="AR23" s="420"/>
      <c r="AS23" s="421"/>
      <c r="AT23" s="422" t="s">
        <v>250</v>
      </c>
      <c r="AU23" s="420"/>
      <c r="AV23" s="420"/>
      <c r="AW23" s="420"/>
      <c r="AX23" s="420"/>
      <c r="AY23" s="420"/>
      <c r="AZ23" s="420"/>
      <c r="BA23" s="420"/>
      <c r="BB23" s="420"/>
      <c r="BC23" s="420"/>
      <c r="BD23" s="420"/>
      <c r="BE23" s="420"/>
      <c r="BF23" s="420"/>
      <c r="BG23" s="420"/>
      <c r="BH23" s="420"/>
      <c r="BI23" s="420"/>
      <c r="BJ23" s="420"/>
      <c r="BK23" s="420"/>
      <c r="BL23" s="420"/>
      <c r="BM23" s="420"/>
      <c r="BN23" s="420"/>
      <c r="BO23" s="420"/>
      <c r="BP23" s="420"/>
      <c r="BQ23" s="421"/>
      <c r="BR23" s="174">
        <v>0</v>
      </c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6"/>
      <c r="CM23" s="174">
        <f>1097.38+1686</f>
        <v>2783.38</v>
      </c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6"/>
      <c r="DC23" s="174">
        <v>0</v>
      </c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6"/>
      <c r="DR23" s="174">
        <v>0</v>
      </c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6"/>
      <c r="EG23" s="174">
        <f t="shared" si="0"/>
        <v>2783.38</v>
      </c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6"/>
      <c r="EV23" s="174">
        <f t="shared" si="1"/>
        <v>-2783.38</v>
      </c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7"/>
    </row>
    <row r="24" spans="1:256" s="57" customFormat="1" ht="12.75" customHeight="1">
      <c r="A24" s="417" t="s">
        <v>18</v>
      </c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  <c r="AC24" s="417"/>
      <c r="AD24" s="417"/>
      <c r="AE24" s="417"/>
      <c r="AF24" s="417"/>
      <c r="AG24" s="417"/>
      <c r="AH24" s="417"/>
      <c r="AI24" s="417"/>
      <c r="AJ24" s="417"/>
      <c r="AK24" s="417"/>
      <c r="AL24" s="417"/>
      <c r="AM24" s="418"/>
      <c r="AN24" s="419"/>
      <c r="AO24" s="420"/>
      <c r="AP24" s="420"/>
      <c r="AQ24" s="420"/>
      <c r="AR24" s="420"/>
      <c r="AS24" s="421"/>
      <c r="AT24" s="422" t="s">
        <v>249</v>
      </c>
      <c r="AU24" s="420"/>
      <c r="AV24" s="420"/>
      <c r="AW24" s="420"/>
      <c r="AX24" s="420"/>
      <c r="AY24" s="420"/>
      <c r="AZ24" s="420"/>
      <c r="BA24" s="420"/>
      <c r="BB24" s="420"/>
      <c r="BC24" s="420"/>
      <c r="BD24" s="420"/>
      <c r="BE24" s="420"/>
      <c r="BF24" s="420"/>
      <c r="BG24" s="420"/>
      <c r="BH24" s="420"/>
      <c r="BI24" s="420"/>
      <c r="BJ24" s="420"/>
      <c r="BK24" s="420"/>
      <c r="BL24" s="420"/>
      <c r="BM24" s="420"/>
      <c r="BN24" s="420"/>
      <c r="BO24" s="420"/>
      <c r="BP24" s="420"/>
      <c r="BQ24" s="421"/>
      <c r="BR24" s="174">
        <v>0</v>
      </c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6"/>
      <c r="CM24" s="174">
        <v>0</v>
      </c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6"/>
      <c r="DC24" s="174">
        <v>0</v>
      </c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6"/>
      <c r="DR24" s="174">
        <v>0</v>
      </c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6"/>
      <c r="EG24" s="174">
        <f t="shared" si="0"/>
        <v>0</v>
      </c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6"/>
      <c r="EV24" s="174">
        <f t="shared" si="1"/>
        <v>0</v>
      </c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7"/>
    </row>
    <row r="25" spans="1:256" s="57" customFormat="1" ht="12.75" customHeight="1">
      <c r="A25" s="417" t="s">
        <v>18</v>
      </c>
      <c r="B25" s="417"/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  <c r="AC25" s="417"/>
      <c r="AD25" s="417"/>
      <c r="AE25" s="417"/>
      <c r="AF25" s="417"/>
      <c r="AG25" s="417"/>
      <c r="AH25" s="417"/>
      <c r="AI25" s="417"/>
      <c r="AJ25" s="417"/>
      <c r="AK25" s="417"/>
      <c r="AL25" s="417"/>
      <c r="AM25" s="418"/>
      <c r="AN25" s="419"/>
      <c r="AO25" s="420"/>
      <c r="AP25" s="420"/>
      <c r="AQ25" s="420"/>
      <c r="AR25" s="420"/>
      <c r="AS25" s="421"/>
      <c r="AT25" s="422" t="s">
        <v>248</v>
      </c>
      <c r="AU25" s="420"/>
      <c r="AV25" s="420"/>
      <c r="AW25" s="420"/>
      <c r="AX25" s="420"/>
      <c r="AY25" s="420"/>
      <c r="AZ25" s="420"/>
      <c r="BA25" s="420"/>
      <c r="BB25" s="420"/>
      <c r="BC25" s="420"/>
      <c r="BD25" s="420"/>
      <c r="BE25" s="420"/>
      <c r="BF25" s="420"/>
      <c r="BG25" s="420"/>
      <c r="BH25" s="420"/>
      <c r="BI25" s="420"/>
      <c r="BJ25" s="420"/>
      <c r="BK25" s="420"/>
      <c r="BL25" s="420"/>
      <c r="BM25" s="420"/>
      <c r="BN25" s="420"/>
      <c r="BO25" s="420"/>
      <c r="BP25" s="420"/>
      <c r="BQ25" s="421"/>
      <c r="BR25" s="174">
        <v>0</v>
      </c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6"/>
      <c r="CM25" s="174">
        <f>CM26</f>
        <v>0</v>
      </c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6"/>
      <c r="DC25" s="174">
        <v>0</v>
      </c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6"/>
      <c r="DR25" s="174">
        <v>0</v>
      </c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6"/>
      <c r="EG25" s="174">
        <f t="shared" si="0"/>
        <v>0</v>
      </c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6"/>
      <c r="EV25" s="174">
        <f t="shared" si="1"/>
        <v>0</v>
      </c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7"/>
    </row>
    <row r="26" spans="1:256" s="57" customFormat="1" ht="12.75" customHeight="1">
      <c r="A26" s="275" t="s">
        <v>18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  <c r="AJ26" s="275"/>
      <c r="AK26" s="275"/>
      <c r="AL26" s="275"/>
      <c r="AM26" s="275"/>
      <c r="AN26" s="276"/>
      <c r="AO26" s="276"/>
      <c r="AP26" s="276"/>
      <c r="AQ26" s="276"/>
      <c r="AR26" s="276"/>
      <c r="AS26" s="276"/>
      <c r="AT26" s="190" t="s">
        <v>247</v>
      </c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1">
        <v>0</v>
      </c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>
        <v>0</v>
      </c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>
        <v>0</v>
      </c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>
        <v>0</v>
      </c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>
        <f t="shared" si="0"/>
        <v>0</v>
      </c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220">
        <f t="shared" si="1"/>
        <v>0</v>
      </c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</row>
    <row r="27" spans="1:256" s="57" customFormat="1" ht="12.75" customHeight="1">
      <c r="A27" s="417" t="s">
        <v>18</v>
      </c>
      <c r="B27" s="417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7"/>
      <c r="AI27" s="417"/>
      <c r="AJ27" s="417"/>
      <c r="AK27" s="417"/>
      <c r="AL27" s="417"/>
      <c r="AM27" s="418"/>
      <c r="AN27" s="419"/>
      <c r="AO27" s="420"/>
      <c r="AP27" s="420"/>
      <c r="AQ27" s="420"/>
      <c r="AR27" s="420"/>
      <c r="AS27" s="421"/>
      <c r="AT27" s="422" t="s">
        <v>246</v>
      </c>
      <c r="AU27" s="420"/>
      <c r="AV27" s="420"/>
      <c r="AW27" s="420"/>
      <c r="AX27" s="420"/>
      <c r="AY27" s="420"/>
      <c r="AZ27" s="420"/>
      <c r="BA27" s="420"/>
      <c r="BB27" s="420"/>
      <c r="BC27" s="420"/>
      <c r="BD27" s="420"/>
      <c r="BE27" s="420"/>
      <c r="BF27" s="420"/>
      <c r="BG27" s="420"/>
      <c r="BH27" s="420"/>
      <c r="BI27" s="420"/>
      <c r="BJ27" s="420"/>
      <c r="BK27" s="420"/>
      <c r="BL27" s="420"/>
      <c r="BM27" s="420"/>
      <c r="BN27" s="420"/>
      <c r="BO27" s="420"/>
      <c r="BP27" s="420"/>
      <c r="BQ27" s="421"/>
      <c r="BR27" s="174">
        <v>0</v>
      </c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6"/>
      <c r="CM27" s="174">
        <f>CM28+CM29+CM30</f>
        <v>-12460.699999999999</v>
      </c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6"/>
      <c r="DC27" s="174">
        <v>0</v>
      </c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6"/>
      <c r="DR27" s="174">
        <v>0</v>
      </c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6"/>
      <c r="EG27" s="174">
        <f t="shared" si="0"/>
        <v>-12460.699999999999</v>
      </c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6"/>
      <c r="EV27" s="174">
        <f t="shared" si="1"/>
        <v>12460.699999999999</v>
      </c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7"/>
    </row>
    <row r="28" spans="1:256" s="57" customFormat="1" ht="12.75" customHeight="1">
      <c r="A28" s="275" t="s">
        <v>18</v>
      </c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  <c r="AJ28" s="275"/>
      <c r="AK28" s="275"/>
      <c r="AL28" s="275"/>
      <c r="AM28" s="275"/>
      <c r="AN28" s="276"/>
      <c r="AO28" s="276"/>
      <c r="AP28" s="276"/>
      <c r="AQ28" s="276"/>
      <c r="AR28" s="276"/>
      <c r="AS28" s="276"/>
      <c r="AT28" s="190" t="s">
        <v>245</v>
      </c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1">
        <v>0</v>
      </c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>
        <f>-14826.89+2321.78</f>
        <v>-12505.109999999999</v>
      </c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>
        <v>0</v>
      </c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>
        <v>0</v>
      </c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>
        <f t="shared" si="0"/>
        <v>-12505.109999999999</v>
      </c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220">
        <f t="shared" si="1"/>
        <v>12505.109999999999</v>
      </c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</row>
    <row r="29" spans="1:256" s="57" customFormat="1" ht="12.75" customHeight="1">
      <c r="A29" s="275" t="s">
        <v>18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  <c r="AJ29" s="275"/>
      <c r="AK29" s="275"/>
      <c r="AL29" s="275"/>
      <c r="AM29" s="275"/>
      <c r="AN29" s="276"/>
      <c r="AO29" s="276"/>
      <c r="AP29" s="276"/>
      <c r="AQ29" s="276"/>
      <c r="AR29" s="276"/>
      <c r="AS29" s="276"/>
      <c r="AT29" s="190" t="s">
        <v>244</v>
      </c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1">
        <v>0</v>
      </c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>
        <f>14.73+17.92</f>
        <v>32.650000000000006</v>
      </c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>
        <v>0</v>
      </c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>
        <v>0</v>
      </c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>
        <f t="shared" si="0"/>
        <v>32.650000000000006</v>
      </c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220">
        <f t="shared" si="1"/>
        <v>-32.650000000000006</v>
      </c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</row>
    <row r="30" spans="1:256" s="57" customFormat="1" ht="12.75" customHeight="1">
      <c r="A30" s="424" t="s">
        <v>18</v>
      </c>
      <c r="B30" s="424"/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4"/>
      <c r="U30" s="424"/>
      <c r="V30" s="424"/>
      <c r="W30" s="424"/>
      <c r="X30" s="424"/>
      <c r="Y30" s="424"/>
      <c r="Z30" s="424"/>
      <c r="AA30" s="424"/>
      <c r="AB30" s="424"/>
      <c r="AC30" s="424"/>
      <c r="AD30" s="424"/>
      <c r="AE30" s="424"/>
      <c r="AF30" s="424"/>
      <c r="AG30" s="424"/>
      <c r="AH30" s="424"/>
      <c r="AI30" s="424"/>
      <c r="AJ30" s="424"/>
      <c r="AK30" s="424"/>
      <c r="AL30" s="424"/>
      <c r="AM30" s="424"/>
      <c r="AN30" s="208"/>
      <c r="AO30" s="208"/>
      <c r="AP30" s="208"/>
      <c r="AQ30" s="208"/>
      <c r="AR30" s="208"/>
      <c r="AS30" s="208"/>
      <c r="AT30" s="257" t="s">
        <v>243</v>
      </c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  <c r="BR30" s="212">
        <v>0</v>
      </c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>
        <v>11.76</v>
      </c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>
        <v>0</v>
      </c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>
        <v>0</v>
      </c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>
        <f t="shared" si="0"/>
        <v>11.76</v>
      </c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84">
        <f>BR30-CM30</f>
        <v>-11.76</v>
      </c>
      <c r="EW30" s="284"/>
      <c r="EX30" s="284"/>
      <c r="EY30" s="284"/>
      <c r="EZ30" s="284"/>
      <c r="FA30" s="284"/>
      <c r="FB30" s="284"/>
      <c r="FC30" s="284"/>
      <c r="FD30" s="284"/>
      <c r="FE30" s="284"/>
      <c r="FF30" s="284"/>
      <c r="FG30" s="284"/>
      <c r="FH30" s="284"/>
      <c r="FI30" s="284"/>
      <c r="FJ30" s="284"/>
    </row>
    <row r="31" spans="1:256" s="56" customFormat="1" ht="12.75" customHeight="1" thickBot="1">
      <c r="A31" s="277" t="s">
        <v>242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9"/>
      <c r="AO31" s="279"/>
      <c r="AP31" s="279"/>
      <c r="AQ31" s="279"/>
      <c r="AR31" s="279"/>
      <c r="AS31" s="279"/>
      <c r="AT31" s="280" t="s">
        <v>241</v>
      </c>
      <c r="AU31" s="280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0"/>
      <c r="BQ31" s="280"/>
      <c r="BR31" s="281">
        <f>BR32</f>
        <v>3494900</v>
      </c>
      <c r="BS31" s="281"/>
      <c r="BT31" s="281"/>
      <c r="BU31" s="281"/>
      <c r="BV31" s="281"/>
      <c r="BW31" s="281"/>
      <c r="BX31" s="281"/>
      <c r="BY31" s="281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1"/>
      <c r="CK31" s="281"/>
      <c r="CL31" s="281"/>
      <c r="CM31" s="286">
        <f>CM32</f>
        <v>4112806.81</v>
      </c>
      <c r="CN31" s="286"/>
      <c r="CO31" s="286"/>
      <c r="CP31" s="286"/>
      <c r="CQ31" s="286"/>
      <c r="CR31" s="286"/>
      <c r="CS31" s="286"/>
      <c r="CT31" s="286"/>
      <c r="CU31" s="286"/>
      <c r="CV31" s="286"/>
      <c r="CW31" s="286"/>
      <c r="CX31" s="286"/>
      <c r="CY31" s="286"/>
      <c r="CZ31" s="286"/>
      <c r="DA31" s="286"/>
      <c r="DB31" s="286"/>
      <c r="DC31" s="282">
        <v>0</v>
      </c>
      <c r="DD31" s="282"/>
      <c r="DE31" s="282"/>
      <c r="DF31" s="282"/>
      <c r="DG31" s="282"/>
      <c r="DH31" s="282"/>
      <c r="DI31" s="282"/>
      <c r="DJ31" s="282"/>
      <c r="DK31" s="282"/>
      <c r="DL31" s="282"/>
      <c r="DM31" s="282"/>
      <c r="DN31" s="282"/>
      <c r="DO31" s="282"/>
      <c r="DP31" s="282"/>
      <c r="DQ31" s="282"/>
      <c r="DR31" s="282">
        <v>0</v>
      </c>
      <c r="DS31" s="282"/>
      <c r="DT31" s="282"/>
      <c r="DU31" s="282"/>
      <c r="DV31" s="282"/>
      <c r="DW31" s="282"/>
      <c r="DX31" s="282"/>
      <c r="DY31" s="282"/>
      <c r="DZ31" s="282"/>
      <c r="EA31" s="282"/>
      <c r="EB31" s="282"/>
      <c r="EC31" s="282"/>
      <c r="ED31" s="282"/>
      <c r="EE31" s="282"/>
      <c r="EF31" s="157"/>
      <c r="EG31" s="283">
        <f t="shared" si="0"/>
        <v>4112806.81</v>
      </c>
      <c r="EH31" s="283"/>
      <c r="EI31" s="283"/>
      <c r="EJ31" s="283"/>
      <c r="EK31" s="283"/>
      <c r="EL31" s="283"/>
      <c r="EM31" s="283"/>
      <c r="EN31" s="283"/>
      <c r="EO31" s="283"/>
      <c r="EP31" s="283"/>
      <c r="EQ31" s="283"/>
      <c r="ER31" s="283"/>
      <c r="ES31" s="283"/>
      <c r="ET31" s="283"/>
      <c r="EU31" s="283"/>
      <c r="EV31" s="283">
        <f>BR31-EG31</f>
        <v>-617906.81000000006</v>
      </c>
      <c r="EW31" s="283"/>
      <c r="EX31" s="283"/>
      <c r="EY31" s="283"/>
      <c r="EZ31" s="283"/>
      <c r="FA31" s="283"/>
      <c r="FB31" s="283"/>
      <c r="FC31" s="283"/>
      <c r="FD31" s="283"/>
      <c r="FE31" s="283"/>
      <c r="FF31" s="283"/>
      <c r="FG31" s="283"/>
      <c r="FH31" s="283"/>
      <c r="FI31" s="283"/>
      <c r="FJ31" s="283"/>
    </row>
    <row r="32" spans="1:256" s="57" customFormat="1" ht="12.75" customHeight="1" thickBot="1">
      <c r="A32" s="241" t="s">
        <v>20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0"/>
      <c r="AO32" s="240"/>
      <c r="AP32" s="240"/>
      <c r="AQ32" s="240"/>
      <c r="AR32" s="240"/>
      <c r="AS32" s="240"/>
      <c r="AT32" s="243" t="s">
        <v>240</v>
      </c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3"/>
      <c r="BM32" s="243"/>
      <c r="BN32" s="243"/>
      <c r="BO32" s="243"/>
      <c r="BP32" s="243"/>
      <c r="BQ32" s="243"/>
      <c r="BR32" s="195">
        <f>BR33+BR38</f>
        <v>3494900</v>
      </c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249"/>
      <c r="CM32" s="250">
        <f>CM33+CM38</f>
        <v>4112806.81</v>
      </c>
      <c r="CN32" s="195"/>
      <c r="CO32" s="195"/>
      <c r="CP32" s="195"/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89"/>
      <c r="DC32" s="285">
        <v>0</v>
      </c>
      <c r="DD32" s="214"/>
      <c r="DE32" s="214"/>
      <c r="DF32" s="214"/>
      <c r="DG32" s="214"/>
      <c r="DH32" s="214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>
        <v>0</v>
      </c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195">
        <f t="shared" si="0"/>
        <v>4112806.81</v>
      </c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88">
        <f>BR32-EG32</f>
        <v>-617906.81000000006</v>
      </c>
      <c r="EW32" s="188"/>
      <c r="EX32" s="188"/>
      <c r="EY32" s="188"/>
      <c r="EZ32" s="188"/>
      <c r="FA32" s="188"/>
      <c r="FB32" s="188"/>
      <c r="FC32" s="188"/>
      <c r="FD32" s="188"/>
      <c r="FE32" s="188"/>
      <c r="FF32" s="188"/>
      <c r="FG32" s="188"/>
      <c r="FH32" s="188"/>
      <c r="FI32" s="188"/>
      <c r="FJ32" s="189"/>
    </row>
    <row r="33" spans="1:167" s="57" customFormat="1" ht="12.75" customHeight="1">
      <c r="A33" s="407" t="s">
        <v>20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  <c r="W33" s="408"/>
      <c r="X33" s="408"/>
      <c r="Y33" s="408"/>
      <c r="Z33" s="408"/>
      <c r="AA33" s="408"/>
      <c r="AB33" s="408"/>
      <c r="AC33" s="408"/>
      <c r="AD33" s="408"/>
      <c r="AE33" s="408"/>
      <c r="AF33" s="408"/>
      <c r="AG33" s="408"/>
      <c r="AH33" s="408"/>
      <c r="AI33" s="408"/>
      <c r="AJ33" s="408"/>
      <c r="AK33" s="408"/>
      <c r="AL33" s="408"/>
      <c r="AM33" s="298"/>
      <c r="AN33" s="409"/>
      <c r="AO33" s="410"/>
      <c r="AP33" s="410"/>
      <c r="AQ33" s="410"/>
      <c r="AR33" s="410"/>
      <c r="AS33" s="411"/>
      <c r="AT33" s="201" t="s">
        <v>239</v>
      </c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4">
        <v>3494900</v>
      </c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6"/>
      <c r="CM33" s="209">
        <f>CM34+CM36+CM35+CM37</f>
        <v>4112806.81</v>
      </c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1"/>
      <c r="DC33" s="204">
        <v>0</v>
      </c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6"/>
      <c r="DR33" s="204">
        <v>0</v>
      </c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6"/>
      <c r="EG33" s="209">
        <f t="shared" si="0"/>
        <v>4112806.81</v>
      </c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1"/>
      <c r="EV33" s="209">
        <f>BR33-EG33</f>
        <v>-617906.81000000006</v>
      </c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47"/>
    </row>
    <row r="34" spans="1:167" s="57" customFormat="1" ht="12.75" customHeight="1">
      <c r="A34" s="199" t="s">
        <v>20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200"/>
      <c r="AO34" s="200"/>
      <c r="AP34" s="200"/>
      <c r="AQ34" s="200"/>
      <c r="AR34" s="200"/>
      <c r="AS34" s="200"/>
      <c r="AT34" s="201" t="s">
        <v>238</v>
      </c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2">
        <v>0</v>
      </c>
      <c r="BS34" s="202"/>
      <c r="BT34" s="202"/>
      <c r="BU34" s="202"/>
      <c r="BV34" s="202"/>
      <c r="BW34" s="202"/>
      <c r="BX34" s="202"/>
      <c r="BY34" s="202"/>
      <c r="BZ34" s="202"/>
      <c r="CA34" s="202"/>
      <c r="CB34" s="202"/>
      <c r="CC34" s="202"/>
      <c r="CD34" s="202"/>
      <c r="CE34" s="202"/>
      <c r="CF34" s="202"/>
      <c r="CG34" s="202"/>
      <c r="CH34" s="202"/>
      <c r="CI34" s="202"/>
      <c r="CJ34" s="202"/>
      <c r="CK34" s="202"/>
      <c r="CL34" s="202"/>
      <c r="CM34" s="196">
        <f>4059034.2+48000</f>
        <v>4107034.2</v>
      </c>
      <c r="CN34" s="197"/>
      <c r="CO34" s="197"/>
      <c r="CP34" s="197"/>
      <c r="CQ34" s="197"/>
      <c r="CR34" s="197"/>
      <c r="CS34" s="197"/>
      <c r="CT34" s="197"/>
      <c r="CU34" s="197"/>
      <c r="CV34" s="197"/>
      <c r="CW34" s="197"/>
      <c r="CX34" s="197"/>
      <c r="CY34" s="197"/>
      <c r="CZ34" s="197"/>
      <c r="DA34" s="197"/>
      <c r="DB34" s="203"/>
      <c r="DC34" s="196">
        <v>0</v>
      </c>
      <c r="DD34" s="197"/>
      <c r="DE34" s="197"/>
      <c r="DF34" s="197"/>
      <c r="DG34" s="197"/>
      <c r="DH34" s="197"/>
      <c r="DI34" s="197"/>
      <c r="DJ34" s="197"/>
      <c r="DK34" s="197"/>
      <c r="DL34" s="197"/>
      <c r="DM34" s="197"/>
      <c r="DN34" s="197"/>
      <c r="DO34" s="197"/>
      <c r="DP34" s="197"/>
      <c r="DQ34" s="203"/>
      <c r="DR34" s="196">
        <v>0</v>
      </c>
      <c r="DS34" s="197"/>
      <c r="DT34" s="197"/>
      <c r="DU34" s="197"/>
      <c r="DV34" s="197"/>
      <c r="DW34" s="197"/>
      <c r="DX34" s="197"/>
      <c r="DY34" s="197"/>
      <c r="DZ34" s="197"/>
      <c r="EA34" s="197"/>
      <c r="EB34" s="197"/>
      <c r="EC34" s="197"/>
      <c r="ED34" s="197"/>
      <c r="EE34" s="197"/>
      <c r="EF34" s="203"/>
      <c r="EG34" s="196">
        <f t="shared" si="0"/>
        <v>4107034.2</v>
      </c>
      <c r="EH34" s="197"/>
      <c r="EI34" s="197"/>
      <c r="EJ34" s="197"/>
      <c r="EK34" s="197"/>
      <c r="EL34" s="197"/>
      <c r="EM34" s="197"/>
      <c r="EN34" s="197"/>
      <c r="EO34" s="197"/>
      <c r="EP34" s="197"/>
      <c r="EQ34" s="197"/>
      <c r="ER34" s="197"/>
      <c r="ES34" s="197"/>
      <c r="ET34" s="197"/>
      <c r="EU34" s="203"/>
      <c r="EV34" s="196">
        <f>BR34-CM34</f>
        <v>-4107034.2</v>
      </c>
      <c r="EW34" s="197"/>
      <c r="EX34" s="197"/>
      <c r="EY34" s="197"/>
      <c r="EZ34" s="197"/>
      <c r="FA34" s="197"/>
      <c r="FB34" s="197"/>
      <c r="FC34" s="197"/>
      <c r="FD34" s="197"/>
      <c r="FE34" s="197"/>
      <c r="FF34" s="197"/>
      <c r="FG34" s="197"/>
      <c r="FH34" s="197"/>
      <c r="FI34" s="197"/>
      <c r="FJ34" s="198"/>
    </row>
    <row r="35" spans="1:167" s="57" customFormat="1" ht="12.75" customHeight="1">
      <c r="A35" s="199" t="s">
        <v>20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200"/>
      <c r="AO35" s="200"/>
      <c r="AP35" s="200"/>
      <c r="AQ35" s="200"/>
      <c r="AR35" s="200"/>
      <c r="AS35" s="200"/>
      <c r="AT35" s="201" t="s">
        <v>237</v>
      </c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2">
        <v>0</v>
      </c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202"/>
      <c r="CM35" s="196">
        <f>2241.99+1571.62</f>
        <v>3813.6099999999997</v>
      </c>
      <c r="CN35" s="197"/>
      <c r="CO35" s="197"/>
      <c r="CP35" s="197"/>
      <c r="CQ35" s="197"/>
      <c r="CR35" s="197"/>
      <c r="CS35" s="197"/>
      <c r="CT35" s="197"/>
      <c r="CU35" s="197"/>
      <c r="CV35" s="197"/>
      <c r="CW35" s="197"/>
      <c r="CX35" s="197"/>
      <c r="CY35" s="197"/>
      <c r="CZ35" s="197"/>
      <c r="DA35" s="197"/>
      <c r="DB35" s="203"/>
      <c r="DC35" s="196">
        <v>0</v>
      </c>
      <c r="DD35" s="197"/>
      <c r="DE35" s="197"/>
      <c r="DF35" s="197"/>
      <c r="DG35" s="197"/>
      <c r="DH35" s="197"/>
      <c r="DI35" s="197"/>
      <c r="DJ35" s="197"/>
      <c r="DK35" s="197"/>
      <c r="DL35" s="197"/>
      <c r="DM35" s="197"/>
      <c r="DN35" s="197"/>
      <c r="DO35" s="197"/>
      <c r="DP35" s="197"/>
      <c r="DQ35" s="203"/>
      <c r="DR35" s="196">
        <v>0</v>
      </c>
      <c r="DS35" s="197"/>
      <c r="DT35" s="197"/>
      <c r="DU35" s="197"/>
      <c r="DV35" s="197"/>
      <c r="DW35" s="197"/>
      <c r="DX35" s="197"/>
      <c r="DY35" s="197"/>
      <c r="DZ35" s="197"/>
      <c r="EA35" s="197"/>
      <c r="EB35" s="197"/>
      <c r="EC35" s="197"/>
      <c r="ED35" s="197"/>
      <c r="EE35" s="197"/>
      <c r="EF35" s="203"/>
      <c r="EG35" s="244">
        <f t="shared" si="0"/>
        <v>3813.6099999999997</v>
      </c>
      <c r="EH35" s="245"/>
      <c r="EI35" s="245"/>
      <c r="EJ35" s="245"/>
      <c r="EK35" s="245"/>
      <c r="EL35" s="245"/>
      <c r="EM35" s="245"/>
      <c r="EN35" s="245"/>
      <c r="EO35" s="245"/>
      <c r="EP35" s="245"/>
      <c r="EQ35" s="245"/>
      <c r="ER35" s="245"/>
      <c r="ES35" s="245"/>
      <c r="ET35" s="245"/>
      <c r="EU35" s="246"/>
      <c r="EV35" s="196">
        <f>BR35-CM35</f>
        <v>-3813.6099999999997</v>
      </c>
      <c r="EW35" s="197"/>
      <c r="EX35" s="197"/>
      <c r="EY35" s="197"/>
      <c r="EZ35" s="197"/>
      <c r="FA35" s="197"/>
      <c r="FB35" s="197"/>
      <c r="FC35" s="197"/>
      <c r="FD35" s="197"/>
      <c r="FE35" s="197"/>
      <c r="FF35" s="197"/>
      <c r="FG35" s="197"/>
      <c r="FH35" s="197"/>
      <c r="FI35" s="197"/>
      <c r="FJ35" s="198"/>
    </row>
    <row r="36" spans="1:167" s="57" customFormat="1" ht="12.75" customHeight="1">
      <c r="A36" s="199" t="s">
        <v>20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200"/>
      <c r="AO36" s="200"/>
      <c r="AP36" s="200"/>
      <c r="AQ36" s="200"/>
      <c r="AR36" s="200"/>
      <c r="AS36" s="200"/>
      <c r="AT36" s="201" t="s">
        <v>236</v>
      </c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2">
        <v>0</v>
      </c>
      <c r="BS36" s="202"/>
      <c r="BT36" s="202"/>
      <c r="BU36" s="202"/>
      <c r="BV36" s="202"/>
      <c r="BW36" s="202"/>
      <c r="BX36" s="202"/>
      <c r="BY36" s="202"/>
      <c r="BZ36" s="202"/>
      <c r="CA36" s="202"/>
      <c r="CB36" s="202"/>
      <c r="CC36" s="202"/>
      <c r="CD36" s="202"/>
      <c r="CE36" s="202"/>
      <c r="CF36" s="202"/>
      <c r="CG36" s="202"/>
      <c r="CH36" s="202"/>
      <c r="CI36" s="202"/>
      <c r="CJ36" s="202"/>
      <c r="CK36" s="202"/>
      <c r="CL36" s="202"/>
      <c r="CM36" s="196">
        <v>1959</v>
      </c>
      <c r="CN36" s="197"/>
      <c r="CO36" s="197"/>
      <c r="CP36" s="197"/>
      <c r="CQ36" s="197"/>
      <c r="CR36" s="197"/>
      <c r="CS36" s="197"/>
      <c r="CT36" s="197"/>
      <c r="CU36" s="197"/>
      <c r="CV36" s="197"/>
      <c r="CW36" s="197"/>
      <c r="CX36" s="197"/>
      <c r="CY36" s="197"/>
      <c r="CZ36" s="197"/>
      <c r="DA36" s="197"/>
      <c r="DB36" s="203"/>
      <c r="DC36" s="196">
        <v>0</v>
      </c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7"/>
      <c r="DO36" s="197"/>
      <c r="DP36" s="197"/>
      <c r="DQ36" s="203"/>
      <c r="DR36" s="196">
        <v>0</v>
      </c>
      <c r="DS36" s="197"/>
      <c r="DT36" s="197"/>
      <c r="DU36" s="197"/>
      <c r="DV36" s="197"/>
      <c r="DW36" s="197"/>
      <c r="DX36" s="197"/>
      <c r="DY36" s="197"/>
      <c r="DZ36" s="197"/>
      <c r="EA36" s="197"/>
      <c r="EB36" s="197"/>
      <c r="EC36" s="197"/>
      <c r="ED36" s="197"/>
      <c r="EE36" s="197"/>
      <c r="EF36" s="203"/>
      <c r="EG36" s="196">
        <f t="shared" si="0"/>
        <v>1959</v>
      </c>
      <c r="EH36" s="197"/>
      <c r="EI36" s="197"/>
      <c r="EJ36" s="197"/>
      <c r="EK36" s="197"/>
      <c r="EL36" s="197"/>
      <c r="EM36" s="197"/>
      <c r="EN36" s="197"/>
      <c r="EO36" s="197"/>
      <c r="EP36" s="197"/>
      <c r="EQ36" s="197"/>
      <c r="ER36" s="197"/>
      <c r="ES36" s="197"/>
      <c r="ET36" s="197"/>
      <c r="EU36" s="203"/>
      <c r="EV36" s="196">
        <f>BR36-CM36</f>
        <v>-1959</v>
      </c>
      <c r="EW36" s="197"/>
      <c r="EX36" s="197"/>
      <c r="EY36" s="197"/>
      <c r="EZ36" s="197"/>
      <c r="FA36" s="197"/>
      <c r="FB36" s="197"/>
      <c r="FC36" s="197"/>
      <c r="FD36" s="197"/>
      <c r="FE36" s="197"/>
      <c r="FF36" s="197"/>
      <c r="FG36" s="197"/>
      <c r="FH36" s="197"/>
      <c r="FI36" s="197"/>
      <c r="FJ36" s="198"/>
    </row>
    <row r="37" spans="1:167" s="57" customFormat="1" ht="12.75" customHeight="1">
      <c r="A37" s="199" t="s">
        <v>20</v>
      </c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200"/>
      <c r="AO37" s="200"/>
      <c r="AP37" s="200"/>
      <c r="AQ37" s="200"/>
      <c r="AR37" s="200"/>
      <c r="AS37" s="200"/>
      <c r="AT37" s="201" t="s">
        <v>235</v>
      </c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2">
        <v>0</v>
      </c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/>
      <c r="CL37" s="202"/>
      <c r="CM37" s="196">
        <v>0</v>
      </c>
      <c r="CN37" s="197"/>
      <c r="CO37" s="197"/>
      <c r="CP37" s="197"/>
      <c r="CQ37" s="197"/>
      <c r="CR37" s="197"/>
      <c r="CS37" s="197"/>
      <c r="CT37" s="197"/>
      <c r="CU37" s="197"/>
      <c r="CV37" s="197"/>
      <c r="CW37" s="197"/>
      <c r="CX37" s="197"/>
      <c r="CY37" s="197"/>
      <c r="CZ37" s="197"/>
      <c r="DA37" s="197"/>
      <c r="DB37" s="203"/>
      <c r="DC37" s="196">
        <v>0</v>
      </c>
      <c r="DD37" s="197"/>
      <c r="DE37" s="197"/>
      <c r="DF37" s="197"/>
      <c r="DG37" s="197"/>
      <c r="DH37" s="197"/>
      <c r="DI37" s="197"/>
      <c r="DJ37" s="197"/>
      <c r="DK37" s="197"/>
      <c r="DL37" s="197"/>
      <c r="DM37" s="197"/>
      <c r="DN37" s="197"/>
      <c r="DO37" s="197"/>
      <c r="DP37" s="197"/>
      <c r="DQ37" s="203"/>
      <c r="DR37" s="196">
        <v>0</v>
      </c>
      <c r="DS37" s="197"/>
      <c r="DT37" s="197"/>
      <c r="DU37" s="197"/>
      <c r="DV37" s="197"/>
      <c r="DW37" s="197"/>
      <c r="DX37" s="197"/>
      <c r="DY37" s="197"/>
      <c r="DZ37" s="197"/>
      <c r="EA37" s="197"/>
      <c r="EB37" s="197"/>
      <c r="EC37" s="197"/>
      <c r="ED37" s="197"/>
      <c r="EE37" s="197"/>
      <c r="EF37" s="203"/>
      <c r="EG37" s="196">
        <f t="shared" si="0"/>
        <v>0</v>
      </c>
      <c r="EH37" s="197"/>
      <c r="EI37" s="197"/>
      <c r="EJ37" s="197"/>
      <c r="EK37" s="197"/>
      <c r="EL37" s="197"/>
      <c r="EM37" s="197"/>
      <c r="EN37" s="197"/>
      <c r="EO37" s="197"/>
      <c r="EP37" s="197"/>
      <c r="EQ37" s="197"/>
      <c r="ER37" s="197"/>
      <c r="ES37" s="197"/>
      <c r="ET37" s="197"/>
      <c r="EU37" s="203"/>
      <c r="EV37" s="196">
        <f>BR37-CM37</f>
        <v>0</v>
      </c>
      <c r="EW37" s="197"/>
      <c r="EX37" s="197"/>
      <c r="EY37" s="197"/>
      <c r="EZ37" s="197"/>
      <c r="FA37" s="197"/>
      <c r="FB37" s="197"/>
      <c r="FC37" s="197"/>
      <c r="FD37" s="197"/>
      <c r="FE37" s="197"/>
      <c r="FF37" s="197"/>
      <c r="FG37" s="197"/>
      <c r="FH37" s="197"/>
      <c r="FI37" s="197"/>
      <c r="FJ37" s="198"/>
    </row>
    <row r="38" spans="1:167" s="57" customFormat="1" ht="12.75" customHeight="1">
      <c r="A38" s="207" t="s">
        <v>20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8"/>
      <c r="AO38" s="208"/>
      <c r="AP38" s="208"/>
      <c r="AQ38" s="208"/>
      <c r="AR38" s="208"/>
      <c r="AS38" s="208"/>
      <c r="AT38" s="257" t="s">
        <v>234</v>
      </c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7"/>
      <c r="BQ38" s="257"/>
      <c r="BR38" s="212">
        <v>0</v>
      </c>
      <c r="BS38" s="212"/>
      <c r="BT38" s="212"/>
      <c r="BU38" s="212"/>
      <c r="BV38" s="212"/>
      <c r="BW38" s="212"/>
      <c r="BX38" s="212"/>
      <c r="BY38" s="212"/>
      <c r="BZ38" s="212"/>
      <c r="CA38" s="212"/>
      <c r="CB38" s="212"/>
      <c r="CC38" s="212"/>
      <c r="CD38" s="212"/>
      <c r="CE38" s="212"/>
      <c r="CF38" s="212"/>
      <c r="CG38" s="212"/>
      <c r="CH38" s="212"/>
      <c r="CI38" s="212"/>
      <c r="CJ38" s="212"/>
      <c r="CK38" s="212"/>
      <c r="CL38" s="212"/>
      <c r="CM38" s="212">
        <f>CM39+CM40+CM41</f>
        <v>0</v>
      </c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>
        <v>0</v>
      </c>
      <c r="DD38" s="212"/>
      <c r="DE38" s="212"/>
      <c r="DF38" s="212"/>
      <c r="DG38" s="212"/>
      <c r="DH38" s="212"/>
      <c r="DI38" s="212"/>
      <c r="DJ38" s="212"/>
      <c r="DK38" s="212"/>
      <c r="DL38" s="212"/>
      <c r="DM38" s="212"/>
      <c r="DN38" s="212"/>
      <c r="DO38" s="212"/>
      <c r="DP38" s="212"/>
      <c r="DQ38" s="212"/>
      <c r="DR38" s="212">
        <v>0</v>
      </c>
      <c r="DS38" s="212"/>
      <c r="DT38" s="212"/>
      <c r="DU38" s="212"/>
      <c r="DV38" s="212"/>
      <c r="DW38" s="212"/>
      <c r="DX38" s="212"/>
      <c r="DY38" s="212"/>
      <c r="DZ38" s="212"/>
      <c r="EA38" s="212"/>
      <c r="EB38" s="212"/>
      <c r="EC38" s="212"/>
      <c r="ED38" s="212"/>
      <c r="EE38" s="212"/>
      <c r="EF38" s="212"/>
      <c r="EG38" s="212">
        <f t="shared" si="0"/>
        <v>0</v>
      </c>
      <c r="EH38" s="212"/>
      <c r="EI38" s="212"/>
      <c r="EJ38" s="212"/>
      <c r="EK38" s="212"/>
      <c r="EL38" s="212"/>
      <c r="EM38" s="212"/>
      <c r="EN38" s="212"/>
      <c r="EO38" s="212"/>
      <c r="EP38" s="212"/>
      <c r="EQ38" s="212"/>
      <c r="ER38" s="212"/>
      <c r="ES38" s="212"/>
      <c r="ET38" s="212"/>
      <c r="EU38" s="212"/>
      <c r="EV38" s="284">
        <f t="shared" ref="EV38:EV46" si="2">BR38-EG38</f>
        <v>0</v>
      </c>
      <c r="EW38" s="284"/>
      <c r="EX38" s="284"/>
      <c r="EY38" s="284"/>
      <c r="EZ38" s="284"/>
      <c r="FA38" s="284"/>
      <c r="FB38" s="284"/>
      <c r="FC38" s="284"/>
      <c r="FD38" s="284"/>
      <c r="FE38" s="284"/>
      <c r="FF38" s="284"/>
      <c r="FG38" s="284"/>
      <c r="FH38" s="284"/>
      <c r="FI38" s="284"/>
      <c r="FJ38" s="284"/>
    </row>
    <row r="39" spans="1:167" s="57" customFormat="1" ht="12.75" customHeight="1">
      <c r="A39" s="207" t="s">
        <v>20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8"/>
      <c r="AO39" s="208"/>
      <c r="AP39" s="208"/>
      <c r="AQ39" s="208"/>
      <c r="AR39" s="208"/>
      <c r="AS39" s="208"/>
      <c r="AT39" s="257" t="s">
        <v>233</v>
      </c>
      <c r="AU39" s="257"/>
      <c r="AV39" s="257"/>
      <c r="AW39" s="257"/>
      <c r="AX39" s="257"/>
      <c r="AY39" s="257"/>
      <c r="AZ39" s="257"/>
      <c r="BA39" s="257"/>
      <c r="BB39" s="257"/>
      <c r="BC39" s="257"/>
      <c r="BD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57"/>
      <c r="BO39" s="257"/>
      <c r="BP39" s="257"/>
      <c r="BQ39" s="257"/>
      <c r="BR39" s="212">
        <v>0</v>
      </c>
      <c r="BS39" s="212"/>
      <c r="BT39" s="212"/>
      <c r="BU39" s="212"/>
      <c r="BV39" s="212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12"/>
      <c r="CH39" s="212"/>
      <c r="CI39" s="212"/>
      <c r="CJ39" s="212"/>
      <c r="CK39" s="212"/>
      <c r="CL39" s="212"/>
      <c r="CM39" s="212">
        <v>0</v>
      </c>
      <c r="CN39" s="212"/>
      <c r="CO39" s="212"/>
      <c r="CP39" s="212"/>
      <c r="CQ39" s="212"/>
      <c r="CR39" s="212"/>
      <c r="CS39" s="212"/>
      <c r="CT39" s="212"/>
      <c r="CU39" s="212"/>
      <c r="CV39" s="212"/>
      <c r="CW39" s="212"/>
      <c r="CX39" s="212"/>
      <c r="CY39" s="212"/>
      <c r="CZ39" s="212"/>
      <c r="DA39" s="212"/>
      <c r="DB39" s="212"/>
      <c r="DC39" s="212">
        <v>0</v>
      </c>
      <c r="DD39" s="212"/>
      <c r="DE39" s="212"/>
      <c r="DF39" s="212"/>
      <c r="DG39" s="212"/>
      <c r="DH39" s="212"/>
      <c r="DI39" s="212"/>
      <c r="DJ39" s="212"/>
      <c r="DK39" s="212"/>
      <c r="DL39" s="212"/>
      <c r="DM39" s="212"/>
      <c r="DN39" s="212"/>
      <c r="DO39" s="212"/>
      <c r="DP39" s="212"/>
      <c r="DQ39" s="212"/>
      <c r="DR39" s="212">
        <v>0</v>
      </c>
      <c r="DS39" s="212"/>
      <c r="DT39" s="212"/>
      <c r="DU39" s="212"/>
      <c r="DV39" s="212"/>
      <c r="DW39" s="212"/>
      <c r="DX39" s="212"/>
      <c r="DY39" s="212"/>
      <c r="DZ39" s="212"/>
      <c r="EA39" s="212"/>
      <c r="EB39" s="212"/>
      <c r="EC39" s="212"/>
      <c r="ED39" s="212"/>
      <c r="EE39" s="212"/>
      <c r="EF39" s="212"/>
      <c r="EG39" s="212">
        <f t="shared" si="0"/>
        <v>0</v>
      </c>
      <c r="EH39" s="212"/>
      <c r="EI39" s="212"/>
      <c r="EJ39" s="212"/>
      <c r="EK39" s="212"/>
      <c r="EL39" s="212"/>
      <c r="EM39" s="212"/>
      <c r="EN39" s="212"/>
      <c r="EO39" s="212"/>
      <c r="EP39" s="212"/>
      <c r="EQ39" s="212"/>
      <c r="ER39" s="212"/>
      <c r="ES39" s="212"/>
      <c r="ET39" s="212"/>
      <c r="EU39" s="212"/>
      <c r="EV39" s="284">
        <f t="shared" si="2"/>
        <v>0</v>
      </c>
      <c r="EW39" s="284"/>
      <c r="EX39" s="284"/>
      <c r="EY39" s="284"/>
      <c r="EZ39" s="284"/>
      <c r="FA39" s="284"/>
      <c r="FB39" s="284"/>
      <c r="FC39" s="284"/>
      <c r="FD39" s="284"/>
      <c r="FE39" s="284"/>
      <c r="FF39" s="284"/>
      <c r="FG39" s="284"/>
      <c r="FH39" s="284"/>
      <c r="FI39" s="284"/>
      <c r="FJ39" s="284"/>
    </row>
    <row r="40" spans="1:167" s="57" customFormat="1" ht="12.75" customHeight="1">
      <c r="A40" s="207" t="s">
        <v>20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8"/>
      <c r="AO40" s="208"/>
      <c r="AP40" s="208"/>
      <c r="AQ40" s="208"/>
      <c r="AR40" s="208"/>
      <c r="AS40" s="208"/>
      <c r="AT40" s="257" t="s">
        <v>232</v>
      </c>
      <c r="AU40" s="257"/>
      <c r="AV40" s="257"/>
      <c r="AW40" s="257"/>
      <c r="AX40" s="257"/>
      <c r="AY40" s="257"/>
      <c r="AZ40" s="257"/>
      <c r="BA40" s="257"/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7"/>
      <c r="BQ40" s="257"/>
      <c r="BR40" s="212">
        <v>0</v>
      </c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212"/>
      <c r="CL40" s="212"/>
      <c r="CM40" s="212">
        <v>0</v>
      </c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212">
        <v>0</v>
      </c>
      <c r="DD40" s="212"/>
      <c r="DE40" s="212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>
        <v>0</v>
      </c>
      <c r="DS40" s="212"/>
      <c r="DT40" s="212"/>
      <c r="DU40" s="212"/>
      <c r="DV40" s="212"/>
      <c r="DW40" s="212"/>
      <c r="DX40" s="212"/>
      <c r="DY40" s="212"/>
      <c r="DZ40" s="212"/>
      <c r="EA40" s="212"/>
      <c r="EB40" s="212"/>
      <c r="EC40" s="212"/>
      <c r="ED40" s="212"/>
      <c r="EE40" s="212"/>
      <c r="EF40" s="212"/>
      <c r="EG40" s="212">
        <f t="shared" si="0"/>
        <v>0</v>
      </c>
      <c r="EH40" s="212"/>
      <c r="EI40" s="212"/>
      <c r="EJ40" s="212"/>
      <c r="EK40" s="212"/>
      <c r="EL40" s="212"/>
      <c r="EM40" s="212"/>
      <c r="EN40" s="212"/>
      <c r="EO40" s="212"/>
      <c r="EP40" s="212"/>
      <c r="EQ40" s="212"/>
      <c r="ER40" s="212"/>
      <c r="ES40" s="212"/>
      <c r="ET40" s="212"/>
      <c r="EU40" s="212"/>
      <c r="EV40" s="284">
        <f t="shared" si="2"/>
        <v>0</v>
      </c>
      <c r="EW40" s="284"/>
      <c r="EX40" s="284"/>
      <c r="EY40" s="284"/>
      <c r="EZ40" s="284"/>
      <c r="FA40" s="284"/>
      <c r="FB40" s="284"/>
      <c r="FC40" s="284"/>
      <c r="FD40" s="284"/>
      <c r="FE40" s="284"/>
      <c r="FF40" s="284"/>
      <c r="FG40" s="284"/>
      <c r="FH40" s="284"/>
      <c r="FI40" s="284"/>
      <c r="FJ40" s="284"/>
    </row>
    <row r="41" spans="1:167" s="57" customFormat="1" ht="12.75" customHeight="1" thickBot="1">
      <c r="A41" s="207" t="s">
        <v>20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8"/>
      <c r="AO41" s="208"/>
      <c r="AP41" s="208"/>
      <c r="AQ41" s="208"/>
      <c r="AR41" s="208"/>
      <c r="AS41" s="208"/>
      <c r="AT41" s="257" t="s">
        <v>231</v>
      </c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7"/>
      <c r="BQ41" s="257"/>
      <c r="BR41" s="212">
        <v>0</v>
      </c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>
        <v>0</v>
      </c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>
        <v>0</v>
      </c>
      <c r="DD41" s="212"/>
      <c r="DE41" s="212"/>
      <c r="DF41" s="212"/>
      <c r="DG41" s="212"/>
      <c r="DH41" s="212"/>
      <c r="DI41" s="212"/>
      <c r="DJ41" s="212"/>
      <c r="DK41" s="212"/>
      <c r="DL41" s="212"/>
      <c r="DM41" s="212"/>
      <c r="DN41" s="212"/>
      <c r="DO41" s="212"/>
      <c r="DP41" s="212"/>
      <c r="DQ41" s="212"/>
      <c r="DR41" s="212">
        <v>0</v>
      </c>
      <c r="DS41" s="212"/>
      <c r="DT41" s="212"/>
      <c r="DU41" s="212"/>
      <c r="DV41" s="212"/>
      <c r="DW41" s="212"/>
      <c r="DX41" s="212"/>
      <c r="DY41" s="212"/>
      <c r="DZ41" s="212"/>
      <c r="EA41" s="212"/>
      <c r="EB41" s="212"/>
      <c r="EC41" s="212"/>
      <c r="ED41" s="212"/>
      <c r="EE41" s="212"/>
      <c r="EF41" s="212"/>
      <c r="EG41" s="212">
        <f t="shared" si="0"/>
        <v>0</v>
      </c>
      <c r="EH41" s="212"/>
      <c r="EI41" s="212"/>
      <c r="EJ41" s="212"/>
      <c r="EK41" s="212"/>
      <c r="EL41" s="212"/>
      <c r="EM41" s="212"/>
      <c r="EN41" s="212"/>
      <c r="EO41" s="212"/>
      <c r="EP41" s="212"/>
      <c r="EQ41" s="212"/>
      <c r="ER41" s="212"/>
      <c r="ES41" s="212"/>
      <c r="ET41" s="212"/>
      <c r="EU41" s="212"/>
      <c r="EV41" s="284">
        <f t="shared" si="2"/>
        <v>0</v>
      </c>
      <c r="EW41" s="284"/>
      <c r="EX41" s="284"/>
      <c r="EY41" s="284"/>
      <c r="EZ41" s="284"/>
      <c r="FA41" s="284"/>
      <c r="FB41" s="284"/>
      <c r="FC41" s="284"/>
      <c r="FD41" s="284"/>
      <c r="FE41" s="284"/>
      <c r="FF41" s="284"/>
      <c r="FG41" s="284"/>
      <c r="FH41" s="284"/>
      <c r="FI41" s="284"/>
      <c r="FJ41" s="284"/>
    </row>
    <row r="42" spans="1:167" s="56" customFormat="1" ht="12.75" customHeight="1" thickBot="1">
      <c r="A42" s="287" t="s">
        <v>230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  <c r="AK42" s="288"/>
      <c r="AL42" s="288"/>
      <c r="AM42" s="288"/>
      <c r="AN42" s="272"/>
      <c r="AO42" s="272"/>
      <c r="AP42" s="272"/>
      <c r="AQ42" s="272"/>
      <c r="AR42" s="272"/>
      <c r="AS42" s="272"/>
      <c r="AT42" s="273" t="s">
        <v>229</v>
      </c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195">
        <f>BR43+BR48</f>
        <v>4470000</v>
      </c>
      <c r="BS42" s="195"/>
      <c r="BT42" s="195"/>
      <c r="BU42" s="195"/>
      <c r="BV42" s="195"/>
      <c r="BW42" s="195"/>
      <c r="BX42" s="195"/>
      <c r="BY42" s="195"/>
      <c r="BZ42" s="195"/>
      <c r="CA42" s="195"/>
      <c r="CB42" s="195"/>
      <c r="CC42" s="195"/>
      <c r="CD42" s="195"/>
      <c r="CE42" s="195"/>
      <c r="CF42" s="195"/>
      <c r="CG42" s="195"/>
      <c r="CH42" s="195"/>
      <c r="CI42" s="195"/>
      <c r="CJ42" s="195"/>
      <c r="CK42" s="195"/>
      <c r="CL42" s="195"/>
      <c r="CM42" s="195">
        <f>CM43+CM48</f>
        <v>4528574.4300000006</v>
      </c>
      <c r="CN42" s="195"/>
      <c r="CO42" s="195"/>
      <c r="CP42" s="195"/>
      <c r="CQ42" s="195"/>
      <c r="CR42" s="195"/>
      <c r="CS42" s="195"/>
      <c r="CT42" s="195"/>
      <c r="CU42" s="195"/>
      <c r="CV42" s="195"/>
      <c r="CW42" s="195"/>
      <c r="CX42" s="195"/>
      <c r="CY42" s="195"/>
      <c r="CZ42" s="195"/>
      <c r="DA42" s="195"/>
      <c r="DB42" s="195"/>
      <c r="DC42" s="214">
        <v>0</v>
      </c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>
        <v>0</v>
      </c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195">
        <f t="shared" si="0"/>
        <v>4528574.4300000006</v>
      </c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195"/>
      <c r="EV42" s="188">
        <f t="shared" si="2"/>
        <v>-58574.430000000633</v>
      </c>
      <c r="EW42" s="188"/>
      <c r="EX42" s="188"/>
      <c r="EY42" s="188"/>
      <c r="EZ42" s="188"/>
      <c r="FA42" s="188"/>
      <c r="FB42" s="188"/>
      <c r="FC42" s="188"/>
      <c r="FD42" s="188"/>
      <c r="FE42" s="188"/>
      <c r="FF42" s="188"/>
      <c r="FG42" s="188"/>
      <c r="FH42" s="188"/>
      <c r="FI42" s="188"/>
      <c r="FJ42" s="189"/>
    </row>
    <row r="43" spans="1:167" s="60" customFormat="1" ht="12.75" customHeight="1">
      <c r="A43" s="423" t="s">
        <v>21</v>
      </c>
      <c r="B43" s="423"/>
      <c r="C43" s="423"/>
      <c r="D43" s="423"/>
      <c r="E43" s="423"/>
      <c r="F43" s="423"/>
      <c r="G43" s="423"/>
      <c r="H43" s="423"/>
      <c r="I43" s="423"/>
      <c r="J43" s="423"/>
      <c r="K43" s="423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3"/>
      <c r="X43" s="423"/>
      <c r="Y43" s="423"/>
      <c r="Z43" s="423"/>
      <c r="AA43" s="423"/>
      <c r="AB43" s="423"/>
      <c r="AC43" s="423"/>
      <c r="AD43" s="423"/>
      <c r="AE43" s="423"/>
      <c r="AF43" s="423"/>
      <c r="AG43" s="423"/>
      <c r="AH43" s="423"/>
      <c r="AI43" s="423"/>
      <c r="AJ43" s="423"/>
      <c r="AK43" s="423"/>
      <c r="AL43" s="423"/>
      <c r="AM43" s="423"/>
      <c r="AN43" s="296"/>
      <c r="AO43" s="296"/>
      <c r="AP43" s="296"/>
      <c r="AQ43" s="296"/>
      <c r="AR43" s="296"/>
      <c r="AS43" s="296"/>
      <c r="AT43" s="230" t="s">
        <v>228</v>
      </c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23">
        <f>BR44</f>
        <v>195200</v>
      </c>
      <c r="BS43" s="223"/>
      <c r="BT43" s="223"/>
      <c r="BU43" s="223"/>
      <c r="BV43" s="223"/>
      <c r="BW43" s="223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3"/>
      <c r="CK43" s="223"/>
      <c r="CL43" s="223"/>
      <c r="CM43" s="223">
        <f>CM44</f>
        <v>235926.94</v>
      </c>
      <c r="CN43" s="223"/>
      <c r="CO43" s="223"/>
      <c r="CP43" s="223"/>
      <c r="CQ43" s="223"/>
      <c r="CR43" s="223"/>
      <c r="CS43" s="223"/>
      <c r="CT43" s="223"/>
      <c r="CU43" s="223"/>
      <c r="CV43" s="223"/>
      <c r="CW43" s="223"/>
      <c r="CX43" s="223"/>
      <c r="CY43" s="223"/>
      <c r="CZ43" s="223"/>
      <c r="DA43" s="223"/>
      <c r="DB43" s="223"/>
      <c r="DC43" s="202">
        <v>0</v>
      </c>
      <c r="DD43" s="202"/>
      <c r="DE43" s="202"/>
      <c r="DF43" s="202"/>
      <c r="DG43" s="202"/>
      <c r="DH43" s="202"/>
      <c r="DI43" s="202"/>
      <c r="DJ43" s="202"/>
      <c r="DK43" s="202"/>
      <c r="DL43" s="202"/>
      <c r="DM43" s="202"/>
      <c r="DN43" s="202"/>
      <c r="DO43" s="202"/>
      <c r="DP43" s="202"/>
      <c r="DQ43" s="202"/>
      <c r="DR43" s="202">
        <v>0</v>
      </c>
      <c r="DS43" s="202"/>
      <c r="DT43" s="202"/>
      <c r="DU43" s="202"/>
      <c r="DV43" s="202"/>
      <c r="DW43" s="202"/>
      <c r="DX43" s="202"/>
      <c r="DY43" s="202"/>
      <c r="DZ43" s="202"/>
      <c r="EA43" s="202"/>
      <c r="EB43" s="202"/>
      <c r="EC43" s="202"/>
      <c r="ED43" s="202"/>
      <c r="EE43" s="202"/>
      <c r="EF43" s="202"/>
      <c r="EG43" s="223">
        <f t="shared" si="0"/>
        <v>235926.94</v>
      </c>
      <c r="EH43" s="223"/>
      <c r="EI43" s="223"/>
      <c r="EJ43" s="223"/>
      <c r="EK43" s="223"/>
      <c r="EL43" s="223"/>
      <c r="EM43" s="223"/>
      <c r="EN43" s="223"/>
      <c r="EO43" s="223"/>
      <c r="EP43" s="223"/>
      <c r="EQ43" s="223"/>
      <c r="ER43" s="223"/>
      <c r="ES43" s="223"/>
      <c r="ET43" s="223"/>
      <c r="EU43" s="223"/>
      <c r="EV43" s="216">
        <f t="shared" si="2"/>
        <v>-40726.94</v>
      </c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</row>
    <row r="44" spans="1:167" s="57" customFormat="1" ht="12.75" customHeight="1">
      <c r="A44" s="290" t="s">
        <v>21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76"/>
      <c r="AO44" s="276"/>
      <c r="AP44" s="276"/>
      <c r="AQ44" s="276"/>
      <c r="AR44" s="276"/>
      <c r="AS44" s="276"/>
      <c r="AT44" s="190" t="s">
        <v>227</v>
      </c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1">
        <v>195200</v>
      </c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217">
        <f>SUM(CM45+CM46+CM47)</f>
        <v>235926.94</v>
      </c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191">
        <v>0</v>
      </c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>
        <v>0</v>
      </c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>
        <f t="shared" si="0"/>
        <v>235926.94</v>
      </c>
      <c r="EH44" s="191"/>
      <c r="EI44" s="191"/>
      <c r="EJ44" s="191"/>
      <c r="EK44" s="191"/>
      <c r="EL44" s="191"/>
      <c r="EM44" s="191"/>
      <c r="EN44" s="191"/>
      <c r="EO44" s="191"/>
      <c r="EP44" s="191"/>
      <c r="EQ44" s="191"/>
      <c r="ER44" s="191"/>
      <c r="ES44" s="191"/>
      <c r="ET44" s="191"/>
      <c r="EU44" s="191"/>
      <c r="EV44" s="220">
        <f t="shared" si="2"/>
        <v>-40726.94</v>
      </c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</row>
    <row r="45" spans="1:167" s="57" customFormat="1" ht="12.75" customHeight="1">
      <c r="A45" s="290" t="s">
        <v>21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76"/>
      <c r="AO45" s="276"/>
      <c r="AP45" s="276"/>
      <c r="AQ45" s="276"/>
      <c r="AR45" s="276"/>
      <c r="AS45" s="276"/>
      <c r="AT45" s="190" t="s">
        <v>226</v>
      </c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0"/>
      <c r="BN45" s="190"/>
      <c r="BO45" s="190"/>
      <c r="BP45" s="190"/>
      <c r="BQ45" s="190"/>
      <c r="BR45" s="191">
        <v>0</v>
      </c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>
        <f>159779.34+76235.71</f>
        <v>236015.05</v>
      </c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>
        <v>0</v>
      </c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>
        <v>0</v>
      </c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>
        <f t="shared" si="0"/>
        <v>236015.05</v>
      </c>
      <c r="EH45" s="191"/>
      <c r="EI45" s="191"/>
      <c r="EJ45" s="191"/>
      <c r="EK45" s="191"/>
      <c r="EL45" s="191"/>
      <c r="EM45" s="191"/>
      <c r="EN45" s="191"/>
      <c r="EO45" s="191"/>
      <c r="EP45" s="191"/>
      <c r="EQ45" s="191"/>
      <c r="ER45" s="191"/>
      <c r="ES45" s="191"/>
      <c r="ET45" s="191"/>
      <c r="EU45" s="191"/>
      <c r="EV45" s="220">
        <f t="shared" si="2"/>
        <v>-236015.05</v>
      </c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</row>
    <row r="46" spans="1:167" s="57" customFormat="1" ht="12.75" customHeight="1">
      <c r="A46" s="207" t="s">
        <v>21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91"/>
      <c r="AO46" s="291"/>
      <c r="AP46" s="291"/>
      <c r="AQ46" s="291"/>
      <c r="AR46" s="291"/>
      <c r="AS46" s="291"/>
      <c r="AT46" s="292" t="s">
        <v>225</v>
      </c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18">
        <v>0</v>
      </c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>
        <f>-225.99+137.88</f>
        <v>-88.110000000000014</v>
      </c>
      <c r="CN46" s="218"/>
      <c r="CO46" s="218"/>
      <c r="CP46" s="218"/>
      <c r="CQ46" s="218"/>
      <c r="CR46" s="218"/>
      <c r="CS46" s="218"/>
      <c r="CT46" s="218"/>
      <c r="CU46" s="218"/>
      <c r="CV46" s="218"/>
      <c r="CW46" s="218"/>
      <c r="CX46" s="218"/>
      <c r="CY46" s="218"/>
      <c r="CZ46" s="218"/>
      <c r="DA46" s="218"/>
      <c r="DB46" s="218"/>
      <c r="DC46" s="218">
        <v>0</v>
      </c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8"/>
      <c r="DP46" s="218"/>
      <c r="DQ46" s="218"/>
      <c r="DR46" s="218">
        <v>0</v>
      </c>
      <c r="DS46" s="218"/>
      <c r="DT46" s="218"/>
      <c r="DU46" s="218"/>
      <c r="DV46" s="218"/>
      <c r="DW46" s="218"/>
      <c r="DX46" s="218"/>
      <c r="DY46" s="218"/>
      <c r="DZ46" s="218"/>
      <c r="EA46" s="218"/>
      <c r="EB46" s="218"/>
      <c r="EC46" s="218"/>
      <c r="ED46" s="218"/>
      <c r="EE46" s="218"/>
      <c r="EF46" s="218"/>
      <c r="EG46" s="218">
        <f t="shared" si="0"/>
        <v>-88.110000000000014</v>
      </c>
      <c r="EH46" s="218"/>
      <c r="EI46" s="218"/>
      <c r="EJ46" s="218"/>
      <c r="EK46" s="218"/>
      <c r="EL46" s="218"/>
      <c r="EM46" s="218"/>
      <c r="EN46" s="218"/>
      <c r="EO46" s="218"/>
      <c r="EP46" s="218"/>
      <c r="EQ46" s="218"/>
      <c r="ER46" s="218"/>
      <c r="ES46" s="218"/>
      <c r="ET46" s="218"/>
      <c r="EU46" s="218"/>
      <c r="EV46" s="219">
        <f t="shared" si="2"/>
        <v>88.110000000000014</v>
      </c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</row>
    <row r="47" spans="1:167" s="57" customFormat="1" ht="12.75" customHeight="1" thickBot="1">
      <c r="A47" s="290" t="s">
        <v>21</v>
      </c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7"/>
      <c r="AO47" s="166"/>
      <c r="AP47" s="166"/>
      <c r="AQ47" s="166"/>
      <c r="AR47" s="166"/>
      <c r="AS47" s="167"/>
      <c r="AT47" s="165" t="s">
        <v>224</v>
      </c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BQ47" s="167"/>
      <c r="BR47" s="157">
        <v>0</v>
      </c>
      <c r="BS47" s="158"/>
      <c r="BT47" s="158"/>
      <c r="BU47" s="158"/>
      <c r="BV47" s="158"/>
      <c r="BW47" s="158"/>
      <c r="BX47" s="158"/>
      <c r="BY47" s="158"/>
      <c r="BZ47" s="158"/>
      <c r="CA47" s="158"/>
      <c r="CB47" s="158"/>
      <c r="CC47" s="158"/>
      <c r="CD47" s="158"/>
      <c r="CE47" s="158"/>
      <c r="CF47" s="158"/>
      <c r="CG47" s="158"/>
      <c r="CH47" s="158"/>
      <c r="CI47" s="158"/>
      <c r="CJ47" s="158"/>
      <c r="CK47" s="158"/>
      <c r="CL47" s="159"/>
      <c r="CM47" s="157">
        <v>0</v>
      </c>
      <c r="CN47" s="158"/>
      <c r="CO47" s="158"/>
      <c r="CP47" s="158"/>
      <c r="CQ47" s="158"/>
      <c r="CR47" s="158"/>
      <c r="CS47" s="158"/>
      <c r="CT47" s="158"/>
      <c r="CU47" s="158"/>
      <c r="CV47" s="158"/>
      <c r="CW47" s="158"/>
      <c r="CX47" s="158"/>
      <c r="CY47" s="158"/>
      <c r="CZ47" s="158"/>
      <c r="DA47" s="158"/>
      <c r="DB47" s="159"/>
      <c r="DC47" s="171"/>
      <c r="DD47" s="172"/>
      <c r="DE47" s="172"/>
      <c r="DF47" s="172"/>
      <c r="DG47" s="172"/>
      <c r="DH47" s="172"/>
      <c r="DI47" s="172"/>
      <c r="DJ47" s="172"/>
      <c r="DK47" s="172"/>
      <c r="DL47" s="172"/>
      <c r="DM47" s="172"/>
      <c r="DN47" s="172"/>
      <c r="DO47" s="172"/>
      <c r="DP47" s="172"/>
      <c r="DQ47" s="173"/>
      <c r="DR47" s="157"/>
      <c r="DS47" s="158"/>
      <c r="DT47" s="158"/>
      <c r="DU47" s="158"/>
      <c r="DV47" s="158"/>
      <c r="DW47" s="158"/>
      <c r="DX47" s="158"/>
      <c r="DY47" s="158"/>
      <c r="DZ47" s="158"/>
      <c r="EA47" s="158"/>
      <c r="EB47" s="158"/>
      <c r="EC47" s="158"/>
      <c r="ED47" s="158"/>
      <c r="EE47" s="158"/>
      <c r="EF47" s="159"/>
      <c r="EG47" s="157"/>
      <c r="EH47" s="158"/>
      <c r="EI47" s="158"/>
      <c r="EJ47" s="158"/>
      <c r="EK47" s="158"/>
      <c r="EL47" s="158"/>
      <c r="EM47" s="158"/>
      <c r="EN47" s="158"/>
      <c r="EO47" s="158"/>
      <c r="EP47" s="158"/>
      <c r="EQ47" s="158"/>
      <c r="ER47" s="158"/>
      <c r="ES47" s="158"/>
      <c r="ET47" s="158"/>
      <c r="EU47" s="159"/>
      <c r="EV47" s="157"/>
      <c r="EW47" s="158"/>
      <c r="EX47" s="158"/>
      <c r="EY47" s="158"/>
      <c r="EZ47" s="158"/>
      <c r="FA47" s="158"/>
      <c r="FB47" s="158"/>
      <c r="FC47" s="158"/>
      <c r="FD47" s="158"/>
      <c r="FE47" s="158"/>
      <c r="FF47" s="158"/>
      <c r="FG47" s="158"/>
      <c r="FH47" s="158"/>
      <c r="FI47" s="158"/>
      <c r="FJ47" s="158"/>
      <c r="FK47" s="59"/>
    </row>
    <row r="48" spans="1:167" s="58" customFormat="1" ht="12.75" customHeight="1" thickBot="1">
      <c r="A48" s="307" t="s">
        <v>22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308"/>
      <c r="AN48" s="310"/>
      <c r="AO48" s="310"/>
      <c r="AP48" s="310"/>
      <c r="AQ48" s="310"/>
      <c r="AR48" s="310"/>
      <c r="AS48" s="310"/>
      <c r="AT48" s="311" t="s">
        <v>223</v>
      </c>
      <c r="AU48" s="311"/>
      <c r="AV48" s="311"/>
      <c r="AW48" s="311"/>
      <c r="AX48" s="311"/>
      <c r="AY48" s="311"/>
      <c r="AZ48" s="311"/>
      <c r="BA48" s="311"/>
      <c r="BB48" s="311"/>
      <c r="BC48" s="311"/>
      <c r="BD48" s="311"/>
      <c r="BE48" s="311"/>
      <c r="BF48" s="311"/>
      <c r="BG48" s="311"/>
      <c r="BH48" s="311"/>
      <c r="BI48" s="311"/>
      <c r="BJ48" s="311"/>
      <c r="BK48" s="311"/>
      <c r="BL48" s="311"/>
      <c r="BM48" s="311"/>
      <c r="BN48" s="311"/>
      <c r="BO48" s="311"/>
      <c r="BP48" s="311"/>
      <c r="BQ48" s="311"/>
      <c r="BR48" s="303">
        <f>BR49+BR56</f>
        <v>4274800</v>
      </c>
      <c r="BS48" s="303"/>
      <c r="BT48" s="303"/>
      <c r="BU48" s="303"/>
      <c r="BV48" s="303"/>
      <c r="BW48" s="303"/>
      <c r="BX48" s="303"/>
      <c r="BY48" s="303"/>
      <c r="BZ48" s="303"/>
      <c r="CA48" s="303"/>
      <c r="CB48" s="303"/>
      <c r="CC48" s="303"/>
      <c r="CD48" s="303"/>
      <c r="CE48" s="303"/>
      <c r="CF48" s="303"/>
      <c r="CG48" s="303"/>
      <c r="CH48" s="303"/>
      <c r="CI48" s="303"/>
      <c r="CJ48" s="303"/>
      <c r="CK48" s="303"/>
      <c r="CL48" s="303"/>
      <c r="CM48" s="303">
        <f>CM49+CM57</f>
        <v>4292647.49</v>
      </c>
      <c r="CN48" s="303"/>
      <c r="CO48" s="303"/>
      <c r="CP48" s="303"/>
      <c r="CQ48" s="303"/>
      <c r="CR48" s="303"/>
      <c r="CS48" s="303"/>
      <c r="CT48" s="303"/>
      <c r="CU48" s="303"/>
      <c r="CV48" s="303"/>
      <c r="CW48" s="303"/>
      <c r="CX48" s="303"/>
      <c r="CY48" s="303"/>
      <c r="CZ48" s="303"/>
      <c r="DA48" s="303"/>
      <c r="DB48" s="303"/>
      <c r="DC48" s="195">
        <v>0</v>
      </c>
      <c r="DD48" s="195"/>
      <c r="DE48" s="195"/>
      <c r="DF48" s="195"/>
      <c r="DG48" s="195"/>
      <c r="DH48" s="195"/>
      <c r="DI48" s="195"/>
      <c r="DJ48" s="195"/>
      <c r="DK48" s="195"/>
      <c r="DL48" s="195"/>
      <c r="DM48" s="195"/>
      <c r="DN48" s="195"/>
      <c r="DO48" s="195"/>
      <c r="DP48" s="195"/>
      <c r="DQ48" s="195"/>
      <c r="DR48" s="195">
        <v>0</v>
      </c>
      <c r="DS48" s="195"/>
      <c r="DT48" s="195"/>
      <c r="DU48" s="195"/>
      <c r="DV48" s="195"/>
      <c r="DW48" s="195"/>
      <c r="DX48" s="195"/>
      <c r="DY48" s="195"/>
      <c r="DZ48" s="195"/>
      <c r="EA48" s="195"/>
      <c r="EB48" s="195"/>
      <c r="EC48" s="195"/>
      <c r="ED48" s="195"/>
      <c r="EE48" s="195"/>
      <c r="EF48" s="195"/>
      <c r="EG48" s="303">
        <f t="shared" ref="EG48:EG53" si="3">CM48</f>
        <v>4292647.49</v>
      </c>
      <c r="EH48" s="303"/>
      <c r="EI48" s="303"/>
      <c r="EJ48" s="303"/>
      <c r="EK48" s="303"/>
      <c r="EL48" s="303"/>
      <c r="EM48" s="303"/>
      <c r="EN48" s="303"/>
      <c r="EO48" s="303"/>
      <c r="EP48" s="303"/>
      <c r="EQ48" s="303"/>
      <c r="ER48" s="303"/>
      <c r="ES48" s="303"/>
      <c r="ET48" s="303"/>
      <c r="EU48" s="303"/>
      <c r="EV48" s="304">
        <f t="shared" ref="EV48:EV53" si="4">BR48-EG48</f>
        <v>-17847.490000000224</v>
      </c>
      <c r="EW48" s="304"/>
      <c r="EX48" s="304"/>
      <c r="EY48" s="304"/>
      <c r="EZ48" s="304"/>
      <c r="FA48" s="304"/>
      <c r="FB48" s="304"/>
      <c r="FC48" s="304"/>
      <c r="FD48" s="304"/>
      <c r="FE48" s="304"/>
      <c r="FF48" s="304"/>
      <c r="FG48" s="304"/>
      <c r="FH48" s="304"/>
      <c r="FI48" s="304"/>
      <c r="FJ48" s="305"/>
    </row>
    <row r="49" spans="1:166" s="57" customFormat="1" ht="26.25" customHeight="1">
      <c r="A49" s="298" t="s">
        <v>23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8"/>
      <c r="AM49" s="299"/>
      <c r="AN49" s="300"/>
      <c r="AO49" s="301"/>
      <c r="AP49" s="301"/>
      <c r="AQ49" s="301"/>
      <c r="AR49" s="301"/>
      <c r="AS49" s="301"/>
      <c r="AT49" s="306" t="s">
        <v>222</v>
      </c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6"/>
      <c r="BG49" s="306"/>
      <c r="BH49" s="306"/>
      <c r="BI49" s="306"/>
      <c r="BJ49" s="306"/>
      <c r="BK49" s="306"/>
      <c r="BL49" s="306"/>
      <c r="BM49" s="306"/>
      <c r="BN49" s="306"/>
      <c r="BO49" s="306"/>
      <c r="BP49" s="306"/>
      <c r="BQ49" s="306"/>
      <c r="BR49" s="302">
        <f>BR50</f>
        <v>692000</v>
      </c>
      <c r="BS49" s="302"/>
      <c r="BT49" s="302"/>
      <c r="BU49" s="302"/>
      <c r="BV49" s="302"/>
      <c r="BW49" s="302"/>
      <c r="BX49" s="302"/>
      <c r="BY49" s="302"/>
      <c r="BZ49" s="302"/>
      <c r="CA49" s="302"/>
      <c r="CB49" s="302"/>
      <c r="CC49" s="302"/>
      <c r="CD49" s="302"/>
      <c r="CE49" s="302"/>
      <c r="CF49" s="302"/>
      <c r="CG49" s="302"/>
      <c r="CH49" s="302"/>
      <c r="CI49" s="302"/>
      <c r="CJ49" s="302"/>
      <c r="CK49" s="302"/>
      <c r="CL49" s="302"/>
      <c r="CM49" s="302">
        <f>CM50</f>
        <v>1128990.28</v>
      </c>
      <c r="CN49" s="302"/>
      <c r="CO49" s="302"/>
      <c r="CP49" s="302"/>
      <c r="CQ49" s="302"/>
      <c r="CR49" s="302"/>
      <c r="CS49" s="302"/>
      <c r="CT49" s="302"/>
      <c r="CU49" s="302"/>
      <c r="CV49" s="302"/>
      <c r="CW49" s="302"/>
      <c r="CX49" s="302"/>
      <c r="CY49" s="302"/>
      <c r="CZ49" s="302"/>
      <c r="DA49" s="302"/>
      <c r="DB49" s="302"/>
      <c r="DC49" s="302">
        <v>0</v>
      </c>
      <c r="DD49" s="302"/>
      <c r="DE49" s="302"/>
      <c r="DF49" s="302"/>
      <c r="DG49" s="302"/>
      <c r="DH49" s="302"/>
      <c r="DI49" s="302"/>
      <c r="DJ49" s="302"/>
      <c r="DK49" s="302"/>
      <c r="DL49" s="302"/>
      <c r="DM49" s="302"/>
      <c r="DN49" s="302"/>
      <c r="DO49" s="302"/>
      <c r="DP49" s="302"/>
      <c r="DQ49" s="302"/>
      <c r="DR49" s="302">
        <v>0</v>
      </c>
      <c r="DS49" s="302"/>
      <c r="DT49" s="302"/>
      <c r="DU49" s="302"/>
      <c r="DV49" s="302"/>
      <c r="DW49" s="302"/>
      <c r="DX49" s="302"/>
      <c r="DY49" s="302"/>
      <c r="DZ49" s="302"/>
      <c r="EA49" s="302"/>
      <c r="EB49" s="302"/>
      <c r="EC49" s="302"/>
      <c r="ED49" s="302"/>
      <c r="EE49" s="302"/>
      <c r="EF49" s="302"/>
      <c r="EG49" s="302">
        <f t="shared" si="3"/>
        <v>1128990.28</v>
      </c>
      <c r="EH49" s="302"/>
      <c r="EI49" s="302"/>
      <c r="EJ49" s="302"/>
      <c r="EK49" s="302"/>
      <c r="EL49" s="302"/>
      <c r="EM49" s="302"/>
      <c r="EN49" s="302"/>
      <c r="EO49" s="302"/>
      <c r="EP49" s="302"/>
      <c r="EQ49" s="302"/>
      <c r="ER49" s="302"/>
      <c r="ES49" s="302"/>
      <c r="ET49" s="302"/>
      <c r="EU49" s="302"/>
      <c r="EV49" s="309">
        <f t="shared" si="4"/>
        <v>-436990.28</v>
      </c>
      <c r="EW49" s="309"/>
      <c r="EX49" s="309"/>
      <c r="EY49" s="309"/>
      <c r="EZ49" s="309"/>
      <c r="FA49" s="309"/>
      <c r="FB49" s="309"/>
      <c r="FC49" s="309"/>
      <c r="FD49" s="309"/>
      <c r="FE49" s="309"/>
      <c r="FF49" s="309"/>
      <c r="FG49" s="309"/>
      <c r="FH49" s="309"/>
      <c r="FI49" s="309"/>
      <c r="FJ49" s="309"/>
    </row>
    <row r="50" spans="1:166" s="57" customFormat="1" ht="22.5" customHeight="1">
      <c r="A50" s="312" t="s">
        <v>23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4"/>
      <c r="AN50" s="315"/>
      <c r="AO50" s="316"/>
      <c r="AP50" s="316"/>
      <c r="AQ50" s="316"/>
      <c r="AR50" s="316"/>
      <c r="AS50" s="316"/>
      <c r="AT50" s="316" t="s">
        <v>221</v>
      </c>
      <c r="AU50" s="316"/>
      <c r="AV50" s="316"/>
      <c r="AW50" s="316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  <c r="BN50" s="316"/>
      <c r="BO50" s="316"/>
      <c r="BP50" s="316"/>
      <c r="BQ50" s="316"/>
      <c r="BR50" s="215">
        <v>692000</v>
      </c>
      <c r="BS50" s="215"/>
      <c r="BT50" s="215"/>
      <c r="BU50" s="215"/>
      <c r="BV50" s="215"/>
      <c r="BW50" s="215"/>
      <c r="BX50" s="215"/>
      <c r="BY50" s="215"/>
      <c r="BZ50" s="215"/>
      <c r="CA50" s="215"/>
      <c r="CB50" s="215"/>
      <c r="CC50" s="215"/>
      <c r="CD50" s="215"/>
      <c r="CE50" s="215"/>
      <c r="CF50" s="215"/>
      <c r="CG50" s="215"/>
      <c r="CH50" s="215"/>
      <c r="CI50" s="215"/>
      <c r="CJ50" s="215"/>
      <c r="CK50" s="215"/>
      <c r="CL50" s="215"/>
      <c r="CM50" s="215">
        <f>CM51+CM52+CM53+CM55</f>
        <v>1128990.28</v>
      </c>
      <c r="CN50" s="215"/>
      <c r="CO50" s="215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  <c r="DA50" s="215"/>
      <c r="DB50" s="215"/>
      <c r="DC50" s="215">
        <v>0</v>
      </c>
      <c r="DD50" s="215"/>
      <c r="DE50" s="215"/>
      <c r="DF50" s="215"/>
      <c r="DG50" s="215"/>
      <c r="DH50" s="215"/>
      <c r="DI50" s="215"/>
      <c r="DJ50" s="215"/>
      <c r="DK50" s="215"/>
      <c r="DL50" s="215"/>
      <c r="DM50" s="215"/>
      <c r="DN50" s="215"/>
      <c r="DO50" s="215"/>
      <c r="DP50" s="215"/>
      <c r="DQ50" s="215"/>
      <c r="DR50" s="215">
        <v>0</v>
      </c>
      <c r="DS50" s="215"/>
      <c r="DT50" s="215"/>
      <c r="DU50" s="215"/>
      <c r="DV50" s="215"/>
      <c r="DW50" s="215"/>
      <c r="DX50" s="215"/>
      <c r="DY50" s="215"/>
      <c r="DZ50" s="215"/>
      <c r="EA50" s="215"/>
      <c r="EB50" s="215"/>
      <c r="EC50" s="215"/>
      <c r="ED50" s="215"/>
      <c r="EE50" s="215"/>
      <c r="EF50" s="215"/>
      <c r="EG50" s="215">
        <f t="shared" si="3"/>
        <v>1128990.28</v>
      </c>
      <c r="EH50" s="215"/>
      <c r="EI50" s="215"/>
      <c r="EJ50" s="215"/>
      <c r="EK50" s="215"/>
      <c r="EL50" s="215"/>
      <c r="EM50" s="215"/>
      <c r="EN50" s="215"/>
      <c r="EO50" s="215"/>
      <c r="EP50" s="215"/>
      <c r="EQ50" s="215"/>
      <c r="ER50" s="215"/>
      <c r="ES50" s="215"/>
      <c r="ET50" s="215"/>
      <c r="EU50" s="215"/>
      <c r="EV50" s="215">
        <f t="shared" si="4"/>
        <v>-436990.28</v>
      </c>
      <c r="EW50" s="215"/>
      <c r="EX50" s="215"/>
      <c r="EY50" s="215"/>
      <c r="EZ50" s="215"/>
      <c r="FA50" s="215"/>
      <c r="FB50" s="215"/>
      <c r="FC50" s="215"/>
      <c r="FD50" s="215"/>
      <c r="FE50" s="215"/>
      <c r="FF50" s="215"/>
      <c r="FG50" s="215"/>
      <c r="FH50" s="215"/>
      <c r="FI50" s="215"/>
      <c r="FJ50" s="215"/>
    </row>
    <row r="51" spans="1:166" s="57" customFormat="1" ht="100.5" customHeight="1">
      <c r="A51" s="313" t="s">
        <v>220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  <c r="AN51" s="316"/>
      <c r="AO51" s="316"/>
      <c r="AP51" s="316"/>
      <c r="AQ51" s="316"/>
      <c r="AR51" s="316"/>
      <c r="AS51" s="316"/>
      <c r="AT51" s="316" t="s">
        <v>219</v>
      </c>
      <c r="AU51" s="316"/>
      <c r="AV51" s="316"/>
      <c r="AW51" s="316"/>
      <c r="AX51" s="316"/>
      <c r="AY51" s="316"/>
      <c r="AZ51" s="316"/>
      <c r="BA51" s="316"/>
      <c r="BB51" s="316"/>
      <c r="BC51" s="316"/>
      <c r="BD51" s="316"/>
      <c r="BE51" s="316"/>
      <c r="BF51" s="316"/>
      <c r="BG51" s="316"/>
      <c r="BH51" s="316"/>
      <c r="BI51" s="316"/>
      <c r="BJ51" s="316"/>
      <c r="BK51" s="316"/>
      <c r="BL51" s="316"/>
      <c r="BM51" s="316"/>
      <c r="BN51" s="316"/>
      <c r="BO51" s="316"/>
      <c r="BP51" s="316"/>
      <c r="BQ51" s="316"/>
      <c r="BR51" s="215">
        <v>0</v>
      </c>
      <c r="BS51" s="215"/>
      <c r="BT51" s="215"/>
      <c r="BU51" s="215"/>
      <c r="BV51" s="215"/>
      <c r="BW51" s="215"/>
      <c r="BX51" s="215"/>
      <c r="BY51" s="215"/>
      <c r="BZ51" s="215"/>
      <c r="CA51" s="215"/>
      <c r="CB51" s="215"/>
      <c r="CC51" s="215"/>
      <c r="CD51" s="215"/>
      <c r="CE51" s="215"/>
      <c r="CF51" s="215"/>
      <c r="CG51" s="215"/>
      <c r="CH51" s="215"/>
      <c r="CI51" s="215"/>
      <c r="CJ51" s="215"/>
      <c r="CK51" s="215"/>
      <c r="CL51" s="215"/>
      <c r="CM51" s="215">
        <f>1122501.73+1222</f>
        <v>1123723.73</v>
      </c>
      <c r="CN51" s="215"/>
      <c r="CO51" s="215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  <c r="DA51" s="215"/>
      <c r="DB51" s="215"/>
      <c r="DC51" s="215">
        <v>0</v>
      </c>
      <c r="DD51" s="215"/>
      <c r="DE51" s="215"/>
      <c r="DF51" s="215"/>
      <c r="DG51" s="215"/>
      <c r="DH51" s="215"/>
      <c r="DI51" s="215"/>
      <c r="DJ51" s="215"/>
      <c r="DK51" s="215"/>
      <c r="DL51" s="215"/>
      <c r="DM51" s="215"/>
      <c r="DN51" s="215"/>
      <c r="DO51" s="215"/>
      <c r="DP51" s="215"/>
      <c r="DQ51" s="215"/>
      <c r="DR51" s="215">
        <v>0</v>
      </c>
      <c r="DS51" s="215"/>
      <c r="DT51" s="215"/>
      <c r="DU51" s="215"/>
      <c r="DV51" s="215"/>
      <c r="DW51" s="215"/>
      <c r="DX51" s="215"/>
      <c r="DY51" s="215"/>
      <c r="DZ51" s="215"/>
      <c r="EA51" s="215"/>
      <c r="EB51" s="215"/>
      <c r="EC51" s="215"/>
      <c r="ED51" s="215"/>
      <c r="EE51" s="215"/>
      <c r="EF51" s="215"/>
      <c r="EG51" s="215">
        <f t="shared" si="3"/>
        <v>1123723.73</v>
      </c>
      <c r="EH51" s="215"/>
      <c r="EI51" s="215"/>
      <c r="EJ51" s="215"/>
      <c r="EK51" s="215"/>
      <c r="EL51" s="215"/>
      <c r="EM51" s="215"/>
      <c r="EN51" s="215"/>
      <c r="EO51" s="215"/>
      <c r="EP51" s="215"/>
      <c r="EQ51" s="215"/>
      <c r="ER51" s="215"/>
      <c r="ES51" s="215"/>
      <c r="ET51" s="215"/>
      <c r="EU51" s="215"/>
      <c r="EV51" s="215">
        <f t="shared" si="4"/>
        <v>-1123723.73</v>
      </c>
      <c r="EW51" s="215"/>
      <c r="EX51" s="215"/>
      <c r="EY51" s="215"/>
      <c r="EZ51" s="215"/>
      <c r="FA51" s="215"/>
      <c r="FB51" s="215"/>
      <c r="FC51" s="215"/>
      <c r="FD51" s="215"/>
      <c r="FE51" s="215"/>
      <c r="FF51" s="215"/>
      <c r="FG51" s="215"/>
      <c r="FH51" s="215"/>
      <c r="FI51" s="215"/>
      <c r="FJ51" s="215"/>
    </row>
    <row r="52" spans="1:166" s="56" customFormat="1" ht="63" customHeight="1">
      <c r="A52" s="312" t="s">
        <v>218</v>
      </c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314"/>
      <c r="AN52" s="317"/>
      <c r="AO52" s="318"/>
      <c r="AP52" s="318"/>
      <c r="AQ52" s="318"/>
      <c r="AR52" s="318"/>
      <c r="AS52" s="318"/>
      <c r="AT52" s="201" t="s">
        <v>217</v>
      </c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  <c r="BQ52" s="201"/>
      <c r="BR52" s="202">
        <v>0</v>
      </c>
      <c r="BS52" s="202"/>
      <c r="BT52" s="202"/>
      <c r="BU52" s="202"/>
      <c r="BV52" s="202"/>
      <c r="BW52" s="202"/>
      <c r="BX52" s="202"/>
      <c r="BY52" s="202"/>
      <c r="BZ52" s="202"/>
      <c r="CA52" s="202"/>
      <c r="CB52" s="202"/>
      <c r="CC52" s="202"/>
      <c r="CD52" s="202"/>
      <c r="CE52" s="202"/>
      <c r="CF52" s="202"/>
      <c r="CG52" s="202"/>
      <c r="CH52" s="202"/>
      <c r="CI52" s="202"/>
      <c r="CJ52" s="202"/>
      <c r="CK52" s="202"/>
      <c r="CL52" s="202"/>
      <c r="CM52" s="202">
        <v>5266.55</v>
      </c>
      <c r="CN52" s="202"/>
      <c r="CO52" s="202"/>
      <c r="CP52" s="202"/>
      <c r="CQ52" s="202"/>
      <c r="CR52" s="202"/>
      <c r="CS52" s="202"/>
      <c r="CT52" s="202"/>
      <c r="CU52" s="202"/>
      <c r="CV52" s="202"/>
      <c r="CW52" s="202"/>
      <c r="CX52" s="202"/>
      <c r="CY52" s="202"/>
      <c r="CZ52" s="202"/>
      <c r="DA52" s="202"/>
      <c r="DB52" s="202"/>
      <c r="DC52" s="202">
        <v>0</v>
      </c>
      <c r="DD52" s="202"/>
      <c r="DE52" s="202"/>
      <c r="DF52" s="202"/>
      <c r="DG52" s="202"/>
      <c r="DH52" s="202"/>
      <c r="DI52" s="202"/>
      <c r="DJ52" s="202"/>
      <c r="DK52" s="202"/>
      <c r="DL52" s="202"/>
      <c r="DM52" s="202"/>
      <c r="DN52" s="202"/>
      <c r="DO52" s="202"/>
      <c r="DP52" s="202"/>
      <c r="DQ52" s="202"/>
      <c r="DR52" s="202">
        <v>0</v>
      </c>
      <c r="DS52" s="202"/>
      <c r="DT52" s="202"/>
      <c r="DU52" s="202"/>
      <c r="DV52" s="202"/>
      <c r="DW52" s="202"/>
      <c r="DX52" s="202"/>
      <c r="DY52" s="202"/>
      <c r="DZ52" s="202"/>
      <c r="EA52" s="202"/>
      <c r="EB52" s="202"/>
      <c r="EC52" s="202"/>
      <c r="ED52" s="202"/>
      <c r="EE52" s="202"/>
      <c r="EF52" s="202"/>
      <c r="EG52" s="202">
        <f t="shared" si="3"/>
        <v>5266.55</v>
      </c>
      <c r="EH52" s="202"/>
      <c r="EI52" s="202"/>
      <c r="EJ52" s="202"/>
      <c r="EK52" s="202"/>
      <c r="EL52" s="202"/>
      <c r="EM52" s="202"/>
      <c r="EN52" s="202"/>
      <c r="EO52" s="202"/>
      <c r="EP52" s="202"/>
      <c r="EQ52" s="202"/>
      <c r="ER52" s="202"/>
      <c r="ES52" s="202"/>
      <c r="ET52" s="202"/>
      <c r="EU52" s="202"/>
      <c r="EV52" s="216">
        <f t="shared" si="4"/>
        <v>-5266.55</v>
      </c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</row>
    <row r="53" spans="1:166" s="57" customFormat="1" ht="99.75" customHeight="1">
      <c r="A53" s="319" t="s">
        <v>216</v>
      </c>
      <c r="B53" s="319"/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X53" s="319"/>
      <c r="Y53" s="319"/>
      <c r="Z53" s="319"/>
      <c r="AA53" s="319"/>
      <c r="AB53" s="319"/>
      <c r="AC53" s="319"/>
      <c r="AD53" s="319"/>
      <c r="AE53" s="319"/>
      <c r="AF53" s="319"/>
      <c r="AG53" s="319"/>
      <c r="AH53" s="319"/>
      <c r="AI53" s="319"/>
      <c r="AJ53" s="319"/>
      <c r="AK53" s="319"/>
      <c r="AL53" s="319"/>
      <c r="AM53" s="319"/>
      <c r="AN53" s="320"/>
      <c r="AO53" s="320"/>
      <c r="AP53" s="320"/>
      <c r="AQ53" s="320"/>
      <c r="AR53" s="320"/>
      <c r="AS53" s="320"/>
      <c r="AT53" s="321" t="s">
        <v>215</v>
      </c>
      <c r="AU53" s="321"/>
      <c r="AV53" s="321"/>
      <c r="AW53" s="321"/>
      <c r="AX53" s="321"/>
      <c r="AY53" s="321"/>
      <c r="AZ53" s="321"/>
      <c r="BA53" s="321"/>
      <c r="BB53" s="321"/>
      <c r="BC53" s="321"/>
      <c r="BD53" s="321"/>
      <c r="BE53" s="321"/>
      <c r="BF53" s="321"/>
      <c r="BG53" s="321"/>
      <c r="BH53" s="321"/>
      <c r="BI53" s="321"/>
      <c r="BJ53" s="321"/>
      <c r="BK53" s="321"/>
      <c r="BL53" s="321"/>
      <c r="BM53" s="321"/>
      <c r="BN53" s="321"/>
      <c r="BO53" s="321"/>
      <c r="BP53" s="321"/>
      <c r="BQ53" s="321"/>
      <c r="BR53" s="191">
        <v>0</v>
      </c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>
        <v>0</v>
      </c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>
        <v>0</v>
      </c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>
        <v>0</v>
      </c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>
        <f t="shared" si="3"/>
        <v>0</v>
      </c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220">
        <f t="shared" si="4"/>
        <v>0</v>
      </c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</row>
    <row r="54" spans="1:166" s="57" customFormat="1" ht="12.75" hidden="1" customHeight="1">
      <c r="A54" s="319" t="s">
        <v>23</v>
      </c>
      <c r="B54" s="319"/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319"/>
      <c r="Q54" s="319"/>
      <c r="R54" s="319"/>
      <c r="S54" s="319"/>
      <c r="T54" s="319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319"/>
      <c r="AF54" s="319"/>
      <c r="AG54" s="319"/>
      <c r="AH54" s="319"/>
      <c r="AI54" s="319"/>
      <c r="AJ54" s="319"/>
      <c r="AK54" s="319"/>
      <c r="AL54" s="319"/>
      <c r="AM54" s="319"/>
      <c r="AN54" s="276"/>
      <c r="AO54" s="276"/>
      <c r="AP54" s="276"/>
      <c r="AQ54" s="276"/>
      <c r="AR54" s="276"/>
      <c r="AS54" s="276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Q54" s="191"/>
      <c r="CR54" s="191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>
        <v>0</v>
      </c>
      <c r="DD54" s="191"/>
      <c r="DE54" s="191"/>
      <c r="DF54" s="191"/>
      <c r="DG54" s="191"/>
      <c r="DH54" s="191"/>
      <c r="DI54" s="191"/>
      <c r="DJ54" s="191"/>
      <c r="DK54" s="191"/>
      <c r="DL54" s="191"/>
      <c r="DM54" s="191"/>
      <c r="DN54" s="191"/>
      <c r="DO54" s="191"/>
      <c r="DP54" s="191"/>
      <c r="DQ54" s="191"/>
      <c r="DR54" s="191">
        <v>0</v>
      </c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</row>
    <row r="55" spans="1:166" s="57" customFormat="1" ht="49.5" customHeight="1">
      <c r="A55" s="295" t="s">
        <v>214</v>
      </c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76"/>
      <c r="AO55" s="276"/>
      <c r="AP55" s="276"/>
      <c r="AQ55" s="276"/>
      <c r="AR55" s="276"/>
      <c r="AS55" s="276"/>
      <c r="AT55" s="190" t="s">
        <v>213</v>
      </c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1">
        <v>0</v>
      </c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>
        <v>0</v>
      </c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>
        <v>0</v>
      </c>
      <c r="DD55" s="191"/>
      <c r="DE55" s="191"/>
      <c r="DF55" s="191"/>
      <c r="DG55" s="191"/>
      <c r="DH55" s="191"/>
      <c r="DI55" s="191"/>
      <c r="DJ55" s="191"/>
      <c r="DK55" s="191"/>
      <c r="DL55" s="191"/>
      <c r="DM55" s="191"/>
      <c r="DN55" s="191"/>
      <c r="DO55" s="191"/>
      <c r="DP55" s="191"/>
      <c r="DQ55" s="191"/>
      <c r="DR55" s="191">
        <v>0</v>
      </c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>
        <f t="shared" ref="EG55:EG100" si="5">CM55</f>
        <v>0</v>
      </c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220">
        <f t="shared" ref="EV55:EV63" si="6">BR55-EG55</f>
        <v>0</v>
      </c>
      <c r="EW55" s="220"/>
      <c r="EX55" s="220"/>
      <c r="EY55" s="220"/>
      <c r="EZ55" s="220"/>
      <c r="FA55" s="220"/>
      <c r="FB55" s="220"/>
      <c r="FC55" s="220"/>
      <c r="FD55" s="220"/>
      <c r="FE55" s="220"/>
      <c r="FF55" s="220"/>
      <c r="FG55" s="220"/>
      <c r="FH55" s="220"/>
      <c r="FI55" s="220"/>
      <c r="FJ55" s="220"/>
    </row>
    <row r="56" spans="1:166" s="56" customFormat="1" ht="26.25" customHeight="1">
      <c r="A56" s="293" t="s">
        <v>211</v>
      </c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4"/>
      <c r="AO56" s="294"/>
      <c r="AP56" s="294"/>
      <c r="AQ56" s="294"/>
      <c r="AR56" s="294"/>
      <c r="AS56" s="294"/>
      <c r="AT56" s="190" t="s">
        <v>212</v>
      </c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90"/>
      <c r="BP56" s="190"/>
      <c r="BQ56" s="190"/>
      <c r="BR56" s="191">
        <f>BR57</f>
        <v>3582800</v>
      </c>
      <c r="BS56" s="191"/>
      <c r="BT56" s="191"/>
      <c r="BU56" s="191"/>
      <c r="BV56" s="191"/>
      <c r="BW56" s="191"/>
      <c r="BX56" s="191"/>
      <c r="BY56" s="191"/>
      <c r="BZ56" s="191"/>
      <c r="CA56" s="191"/>
      <c r="CB56" s="191"/>
      <c r="CC56" s="191"/>
      <c r="CD56" s="191"/>
      <c r="CE56" s="191"/>
      <c r="CF56" s="191"/>
      <c r="CG56" s="191"/>
      <c r="CH56" s="191"/>
      <c r="CI56" s="191"/>
      <c r="CJ56" s="191"/>
      <c r="CK56" s="191"/>
      <c r="CL56" s="191"/>
      <c r="CM56" s="191">
        <f>CM58+CM59+CM61+CM60</f>
        <v>3163657.21</v>
      </c>
      <c r="CN56" s="191"/>
      <c r="CO56" s="191"/>
      <c r="CP56" s="191"/>
      <c r="CQ56" s="191"/>
      <c r="CR56" s="191"/>
      <c r="CS56" s="191"/>
      <c r="CT56" s="191"/>
      <c r="CU56" s="191"/>
      <c r="CV56" s="191"/>
      <c r="CW56" s="191"/>
      <c r="CX56" s="191"/>
      <c r="CY56" s="191"/>
      <c r="CZ56" s="191"/>
      <c r="DA56" s="191"/>
      <c r="DB56" s="191"/>
      <c r="DC56" s="191">
        <v>0</v>
      </c>
      <c r="DD56" s="191"/>
      <c r="DE56" s="191"/>
      <c r="DF56" s="191"/>
      <c r="DG56" s="191"/>
      <c r="DH56" s="191"/>
      <c r="DI56" s="191"/>
      <c r="DJ56" s="191"/>
      <c r="DK56" s="191"/>
      <c r="DL56" s="191"/>
      <c r="DM56" s="191"/>
      <c r="DN56" s="191"/>
      <c r="DO56" s="191"/>
      <c r="DP56" s="191"/>
      <c r="DQ56" s="191"/>
      <c r="DR56" s="191">
        <v>0</v>
      </c>
      <c r="DS56" s="191"/>
      <c r="DT56" s="191"/>
      <c r="DU56" s="191"/>
      <c r="DV56" s="191"/>
      <c r="DW56" s="191"/>
      <c r="DX56" s="191"/>
      <c r="DY56" s="191"/>
      <c r="DZ56" s="191"/>
      <c r="EA56" s="191"/>
      <c r="EB56" s="191"/>
      <c r="EC56" s="191"/>
      <c r="ED56" s="191"/>
      <c r="EE56" s="191"/>
      <c r="EF56" s="191"/>
      <c r="EG56" s="191">
        <f t="shared" si="5"/>
        <v>3163657.21</v>
      </c>
      <c r="EH56" s="191"/>
      <c r="EI56" s="191"/>
      <c r="EJ56" s="191"/>
      <c r="EK56" s="191"/>
      <c r="EL56" s="191"/>
      <c r="EM56" s="191"/>
      <c r="EN56" s="191"/>
      <c r="EO56" s="191"/>
      <c r="EP56" s="191"/>
      <c r="EQ56" s="191"/>
      <c r="ER56" s="191"/>
      <c r="ES56" s="191"/>
      <c r="ET56" s="191"/>
      <c r="EU56" s="191"/>
      <c r="EV56" s="220">
        <f t="shared" si="6"/>
        <v>419142.79000000004</v>
      </c>
      <c r="EW56" s="220"/>
      <c r="EX56" s="220"/>
      <c r="EY56" s="220"/>
      <c r="EZ56" s="220"/>
      <c r="FA56" s="220"/>
      <c r="FB56" s="220"/>
      <c r="FC56" s="220"/>
      <c r="FD56" s="220"/>
      <c r="FE56" s="220"/>
      <c r="FF56" s="220"/>
      <c r="FG56" s="220"/>
      <c r="FH56" s="220"/>
      <c r="FI56" s="220"/>
      <c r="FJ56" s="220"/>
    </row>
    <row r="57" spans="1:166" s="57" customFormat="1" ht="23.25" customHeight="1">
      <c r="A57" s="293" t="s">
        <v>211</v>
      </c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76"/>
      <c r="AO57" s="276"/>
      <c r="AP57" s="276"/>
      <c r="AQ57" s="276"/>
      <c r="AR57" s="276"/>
      <c r="AS57" s="276"/>
      <c r="AT57" s="190" t="s">
        <v>210</v>
      </c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1">
        <v>3582800</v>
      </c>
      <c r="BS57" s="191"/>
      <c r="BT57" s="191"/>
      <c r="BU57" s="191"/>
      <c r="BV57" s="191"/>
      <c r="BW57" s="191"/>
      <c r="BX57" s="191"/>
      <c r="BY57" s="191"/>
      <c r="BZ57" s="191"/>
      <c r="CA57" s="191"/>
      <c r="CB57" s="191"/>
      <c r="CC57" s="191"/>
      <c r="CD57" s="191"/>
      <c r="CE57" s="191"/>
      <c r="CF57" s="191"/>
      <c r="CG57" s="191"/>
      <c r="CH57" s="191"/>
      <c r="CI57" s="191"/>
      <c r="CJ57" s="191"/>
      <c r="CK57" s="191"/>
      <c r="CL57" s="191"/>
      <c r="CM57" s="191">
        <f>CM58+CM59+CM61+CM60</f>
        <v>3163657.21</v>
      </c>
      <c r="CN57" s="191"/>
      <c r="CO57" s="191"/>
      <c r="CP57" s="191"/>
      <c r="CQ57" s="191"/>
      <c r="CR57" s="191"/>
      <c r="CS57" s="191"/>
      <c r="CT57" s="191"/>
      <c r="CU57" s="191"/>
      <c r="CV57" s="191"/>
      <c r="CW57" s="191"/>
      <c r="CX57" s="191"/>
      <c r="CY57" s="191"/>
      <c r="CZ57" s="191"/>
      <c r="DA57" s="191"/>
      <c r="DB57" s="191"/>
      <c r="DC57" s="191">
        <v>0</v>
      </c>
      <c r="DD57" s="191"/>
      <c r="DE57" s="191"/>
      <c r="DF57" s="191"/>
      <c r="DG57" s="191"/>
      <c r="DH57" s="191"/>
      <c r="DI57" s="191"/>
      <c r="DJ57" s="191"/>
      <c r="DK57" s="191"/>
      <c r="DL57" s="191"/>
      <c r="DM57" s="191"/>
      <c r="DN57" s="191"/>
      <c r="DO57" s="191"/>
      <c r="DP57" s="191"/>
      <c r="DQ57" s="191"/>
      <c r="DR57" s="191">
        <v>0</v>
      </c>
      <c r="DS57" s="191"/>
      <c r="DT57" s="191"/>
      <c r="DU57" s="191"/>
      <c r="DV57" s="191"/>
      <c r="DW57" s="191"/>
      <c r="DX57" s="191"/>
      <c r="DY57" s="191"/>
      <c r="DZ57" s="191"/>
      <c r="EA57" s="191"/>
      <c r="EB57" s="191"/>
      <c r="EC57" s="191"/>
      <c r="ED57" s="191"/>
      <c r="EE57" s="191"/>
      <c r="EF57" s="191"/>
      <c r="EG57" s="191">
        <f t="shared" si="5"/>
        <v>3163657.21</v>
      </c>
      <c r="EH57" s="191"/>
      <c r="EI57" s="191"/>
      <c r="EJ57" s="191"/>
      <c r="EK57" s="191"/>
      <c r="EL57" s="191"/>
      <c r="EM57" s="191"/>
      <c r="EN57" s="191"/>
      <c r="EO57" s="191"/>
      <c r="EP57" s="191"/>
      <c r="EQ57" s="191"/>
      <c r="ER57" s="191"/>
      <c r="ES57" s="191"/>
      <c r="ET57" s="191"/>
      <c r="EU57" s="191"/>
      <c r="EV57" s="220">
        <f t="shared" si="6"/>
        <v>419142.79000000004</v>
      </c>
      <c r="EW57" s="220"/>
      <c r="EX57" s="220"/>
      <c r="EY57" s="220"/>
      <c r="EZ57" s="220"/>
      <c r="FA57" s="220"/>
      <c r="FB57" s="220"/>
      <c r="FC57" s="220"/>
      <c r="FD57" s="220"/>
      <c r="FE57" s="220"/>
      <c r="FF57" s="220"/>
      <c r="FG57" s="220"/>
      <c r="FH57" s="220"/>
      <c r="FI57" s="220"/>
      <c r="FJ57" s="220"/>
    </row>
    <row r="58" spans="1:166" s="57" customFormat="1" ht="106.5" customHeight="1" thickBot="1">
      <c r="A58" s="293" t="s">
        <v>209</v>
      </c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76"/>
      <c r="AO58" s="276"/>
      <c r="AP58" s="276"/>
      <c r="AQ58" s="276"/>
      <c r="AR58" s="276"/>
      <c r="AS58" s="276"/>
      <c r="AT58" s="190" t="s">
        <v>208</v>
      </c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1">
        <v>0</v>
      </c>
      <c r="BS58" s="191"/>
      <c r="BT58" s="191"/>
      <c r="BU58" s="191"/>
      <c r="BV58" s="191"/>
      <c r="BW58" s="191"/>
      <c r="BX58" s="191"/>
      <c r="BY58" s="191"/>
      <c r="BZ58" s="191"/>
      <c r="CA58" s="191"/>
      <c r="CB58" s="191"/>
      <c r="CC58" s="191"/>
      <c r="CD58" s="191"/>
      <c r="CE58" s="191"/>
      <c r="CF58" s="191"/>
      <c r="CG58" s="191"/>
      <c r="CH58" s="191"/>
      <c r="CI58" s="191"/>
      <c r="CJ58" s="191"/>
      <c r="CK58" s="191"/>
      <c r="CL58" s="191"/>
      <c r="CM58" s="191">
        <f>2754299.54+408067.85</f>
        <v>3162367.39</v>
      </c>
      <c r="CN58" s="191"/>
      <c r="CO58" s="191"/>
      <c r="CP58" s="191"/>
      <c r="CQ58" s="191"/>
      <c r="CR58" s="191"/>
      <c r="CS58" s="191"/>
      <c r="CT58" s="191"/>
      <c r="CU58" s="191"/>
      <c r="CV58" s="191"/>
      <c r="CW58" s="191"/>
      <c r="CX58" s="191"/>
      <c r="CY58" s="191"/>
      <c r="CZ58" s="191"/>
      <c r="DA58" s="191"/>
      <c r="DB58" s="191"/>
      <c r="DC58" s="191">
        <v>0</v>
      </c>
      <c r="DD58" s="191"/>
      <c r="DE58" s="191"/>
      <c r="DF58" s="191"/>
      <c r="DG58" s="191"/>
      <c r="DH58" s="191"/>
      <c r="DI58" s="191"/>
      <c r="DJ58" s="191"/>
      <c r="DK58" s="191"/>
      <c r="DL58" s="191"/>
      <c r="DM58" s="191"/>
      <c r="DN58" s="191"/>
      <c r="DO58" s="191"/>
      <c r="DP58" s="191"/>
      <c r="DQ58" s="191"/>
      <c r="DR58" s="191">
        <v>0</v>
      </c>
      <c r="DS58" s="191"/>
      <c r="DT58" s="191"/>
      <c r="DU58" s="191"/>
      <c r="DV58" s="191"/>
      <c r="DW58" s="191"/>
      <c r="DX58" s="191"/>
      <c r="DY58" s="191"/>
      <c r="DZ58" s="191"/>
      <c r="EA58" s="191"/>
      <c r="EB58" s="191"/>
      <c r="EC58" s="191"/>
      <c r="ED58" s="191"/>
      <c r="EE58" s="191"/>
      <c r="EF58" s="191"/>
      <c r="EG58" s="191">
        <f t="shared" si="5"/>
        <v>3162367.39</v>
      </c>
      <c r="EH58" s="191"/>
      <c r="EI58" s="191"/>
      <c r="EJ58" s="191"/>
      <c r="EK58" s="191"/>
      <c r="EL58" s="191"/>
      <c r="EM58" s="191"/>
      <c r="EN58" s="191"/>
      <c r="EO58" s="191"/>
      <c r="EP58" s="191"/>
      <c r="EQ58" s="191"/>
      <c r="ER58" s="191"/>
      <c r="ES58" s="191"/>
      <c r="ET58" s="191"/>
      <c r="EU58" s="191"/>
      <c r="EV58" s="220">
        <f t="shared" si="6"/>
        <v>-3162367.39</v>
      </c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</row>
    <row r="59" spans="1:166" s="56" customFormat="1" ht="63" customHeight="1">
      <c r="A59" s="322" t="s">
        <v>207</v>
      </c>
      <c r="B59" s="322"/>
      <c r="C59" s="322"/>
      <c r="D59" s="322"/>
      <c r="E59" s="322"/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22"/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  <c r="AK59" s="322"/>
      <c r="AL59" s="322"/>
      <c r="AM59" s="293"/>
      <c r="AN59" s="323"/>
      <c r="AO59" s="323"/>
      <c r="AP59" s="323"/>
      <c r="AQ59" s="323"/>
      <c r="AR59" s="323"/>
      <c r="AS59" s="323"/>
      <c r="AT59" s="190" t="s">
        <v>206</v>
      </c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213">
        <v>0</v>
      </c>
      <c r="BS59" s="213"/>
      <c r="BT59" s="213"/>
      <c r="BU59" s="213"/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>
        <f>-1656.71+2946.53</f>
        <v>1289.8200000000002</v>
      </c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191">
        <v>0</v>
      </c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>
        <v>0</v>
      </c>
      <c r="DS59" s="191"/>
      <c r="DT59" s="191"/>
      <c r="DU59" s="191"/>
      <c r="DV59" s="191"/>
      <c r="DW59" s="191"/>
      <c r="DX59" s="191"/>
      <c r="DY59" s="191"/>
      <c r="DZ59" s="191"/>
      <c r="EA59" s="191"/>
      <c r="EB59" s="191"/>
      <c r="EC59" s="191"/>
      <c r="ED59" s="191"/>
      <c r="EE59" s="191"/>
      <c r="EF59" s="191"/>
      <c r="EG59" s="213">
        <f t="shared" si="5"/>
        <v>1289.8200000000002</v>
      </c>
      <c r="EH59" s="213"/>
      <c r="EI59" s="213"/>
      <c r="EJ59" s="213"/>
      <c r="EK59" s="213"/>
      <c r="EL59" s="213"/>
      <c r="EM59" s="213"/>
      <c r="EN59" s="213"/>
      <c r="EO59" s="213"/>
      <c r="EP59" s="213"/>
      <c r="EQ59" s="213"/>
      <c r="ER59" s="213"/>
      <c r="ES59" s="213"/>
      <c r="ET59" s="213"/>
      <c r="EU59" s="213"/>
      <c r="EV59" s="324">
        <f t="shared" si="6"/>
        <v>-1289.8200000000002</v>
      </c>
      <c r="EW59" s="324"/>
      <c r="EX59" s="324"/>
      <c r="EY59" s="324"/>
      <c r="EZ59" s="324"/>
      <c r="FA59" s="324"/>
      <c r="FB59" s="324"/>
      <c r="FC59" s="324"/>
      <c r="FD59" s="324"/>
      <c r="FE59" s="324"/>
      <c r="FF59" s="324"/>
      <c r="FG59" s="324"/>
      <c r="FH59" s="324"/>
      <c r="FI59" s="324"/>
      <c r="FJ59" s="324"/>
    </row>
    <row r="60" spans="1:166" s="56" customFormat="1" ht="103.5" customHeight="1">
      <c r="A60" s="233" t="s">
        <v>205</v>
      </c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4"/>
      <c r="AN60" s="235"/>
      <c r="AO60" s="236"/>
      <c r="AP60" s="236"/>
      <c r="AQ60" s="236"/>
      <c r="AR60" s="236"/>
      <c r="AS60" s="237"/>
      <c r="AT60" s="190" t="s">
        <v>204</v>
      </c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74">
        <v>0</v>
      </c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  <c r="CH60" s="175"/>
      <c r="CI60" s="175"/>
      <c r="CJ60" s="175"/>
      <c r="CK60" s="175"/>
      <c r="CL60" s="176"/>
      <c r="CM60" s="174">
        <v>0</v>
      </c>
      <c r="CN60" s="175"/>
      <c r="CO60" s="175"/>
      <c r="CP60" s="175"/>
      <c r="CQ60" s="175"/>
      <c r="CR60" s="175"/>
      <c r="CS60" s="175"/>
      <c r="CT60" s="175"/>
      <c r="CU60" s="175"/>
      <c r="CV60" s="175"/>
      <c r="CW60" s="175"/>
      <c r="CX60" s="175"/>
      <c r="CY60" s="175"/>
      <c r="CZ60" s="175"/>
      <c r="DA60" s="175"/>
      <c r="DB60" s="176"/>
      <c r="DC60" s="174">
        <v>0</v>
      </c>
      <c r="DD60" s="175"/>
      <c r="DE60" s="175"/>
      <c r="DF60" s="175"/>
      <c r="DG60" s="175"/>
      <c r="DH60" s="175"/>
      <c r="DI60" s="175"/>
      <c r="DJ60" s="175"/>
      <c r="DK60" s="175"/>
      <c r="DL60" s="175"/>
      <c r="DM60" s="175"/>
      <c r="DN60" s="175"/>
      <c r="DO60" s="175"/>
      <c r="DP60" s="175"/>
      <c r="DQ60" s="176"/>
      <c r="DR60" s="174">
        <v>0</v>
      </c>
      <c r="DS60" s="175"/>
      <c r="DT60" s="175"/>
      <c r="DU60" s="175"/>
      <c r="DV60" s="175"/>
      <c r="DW60" s="175"/>
      <c r="DX60" s="175"/>
      <c r="DY60" s="175"/>
      <c r="DZ60" s="175"/>
      <c r="EA60" s="175"/>
      <c r="EB60" s="175"/>
      <c r="EC60" s="175"/>
      <c r="ED60" s="175"/>
      <c r="EE60" s="175"/>
      <c r="EF60" s="176"/>
      <c r="EG60" s="174">
        <f t="shared" si="5"/>
        <v>0</v>
      </c>
      <c r="EH60" s="175"/>
      <c r="EI60" s="175"/>
      <c r="EJ60" s="175"/>
      <c r="EK60" s="175"/>
      <c r="EL60" s="175"/>
      <c r="EM60" s="175"/>
      <c r="EN60" s="175"/>
      <c r="EO60" s="175"/>
      <c r="EP60" s="175"/>
      <c r="EQ60" s="175"/>
      <c r="ER60" s="175"/>
      <c r="ES60" s="175"/>
      <c r="ET60" s="175"/>
      <c r="EU60" s="176"/>
      <c r="EV60" s="174">
        <f t="shared" si="6"/>
        <v>0</v>
      </c>
      <c r="EW60" s="175"/>
      <c r="EX60" s="175"/>
      <c r="EY60" s="175"/>
      <c r="EZ60" s="175"/>
      <c r="FA60" s="175"/>
      <c r="FB60" s="175"/>
      <c r="FC60" s="175"/>
      <c r="FD60" s="175"/>
      <c r="FE60" s="175"/>
      <c r="FF60" s="175"/>
      <c r="FG60" s="175"/>
      <c r="FH60" s="175"/>
      <c r="FI60" s="175"/>
      <c r="FJ60" s="177"/>
    </row>
    <row r="61" spans="1:166" s="57" customFormat="1" ht="52.5" customHeight="1" thickBot="1">
      <c r="A61" s="325" t="s">
        <v>203</v>
      </c>
      <c r="B61" s="325"/>
      <c r="C61" s="325"/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325"/>
      <c r="AC61" s="325"/>
      <c r="AD61" s="325"/>
      <c r="AE61" s="325"/>
      <c r="AF61" s="325"/>
      <c r="AG61" s="325"/>
      <c r="AH61" s="325"/>
      <c r="AI61" s="325"/>
      <c r="AJ61" s="325"/>
      <c r="AK61" s="325"/>
      <c r="AL61" s="325"/>
      <c r="AM61" s="325"/>
      <c r="AN61" s="208"/>
      <c r="AO61" s="208"/>
      <c r="AP61" s="208"/>
      <c r="AQ61" s="208"/>
      <c r="AR61" s="208"/>
      <c r="AS61" s="208"/>
      <c r="AT61" s="257" t="s">
        <v>202</v>
      </c>
      <c r="AU61" s="257"/>
      <c r="AV61" s="257"/>
      <c r="AW61" s="257"/>
      <c r="AX61" s="257"/>
      <c r="AY61" s="257"/>
      <c r="AZ61" s="257"/>
      <c r="BA61" s="257"/>
      <c r="BB61" s="257"/>
      <c r="BC61" s="257"/>
      <c r="BD61" s="257"/>
      <c r="BE61" s="257"/>
      <c r="BF61" s="257"/>
      <c r="BG61" s="257"/>
      <c r="BH61" s="257"/>
      <c r="BI61" s="257"/>
      <c r="BJ61" s="257"/>
      <c r="BK61" s="257"/>
      <c r="BL61" s="257"/>
      <c r="BM61" s="257"/>
      <c r="BN61" s="257"/>
      <c r="BO61" s="257"/>
      <c r="BP61" s="257"/>
      <c r="BQ61" s="257"/>
      <c r="BR61" s="212">
        <v>0</v>
      </c>
      <c r="BS61" s="212"/>
      <c r="BT61" s="212"/>
      <c r="BU61" s="212"/>
      <c r="BV61" s="212"/>
      <c r="BW61" s="212"/>
      <c r="BX61" s="212"/>
      <c r="BY61" s="212"/>
      <c r="BZ61" s="212"/>
      <c r="CA61" s="212"/>
      <c r="CB61" s="212"/>
      <c r="CC61" s="212"/>
      <c r="CD61" s="212"/>
      <c r="CE61" s="212"/>
      <c r="CF61" s="212"/>
      <c r="CG61" s="212"/>
      <c r="CH61" s="212"/>
      <c r="CI61" s="212"/>
      <c r="CJ61" s="212"/>
      <c r="CK61" s="212"/>
      <c r="CL61" s="212"/>
      <c r="CM61" s="212">
        <v>0</v>
      </c>
      <c r="CN61" s="212"/>
      <c r="CO61" s="212"/>
      <c r="CP61" s="212"/>
      <c r="CQ61" s="212"/>
      <c r="CR61" s="212"/>
      <c r="CS61" s="212"/>
      <c r="CT61" s="212"/>
      <c r="CU61" s="212"/>
      <c r="CV61" s="212"/>
      <c r="CW61" s="212"/>
      <c r="CX61" s="212"/>
      <c r="CY61" s="212"/>
      <c r="CZ61" s="212"/>
      <c r="DA61" s="212"/>
      <c r="DB61" s="212"/>
      <c r="DC61" s="212">
        <v>0</v>
      </c>
      <c r="DD61" s="212"/>
      <c r="DE61" s="212"/>
      <c r="DF61" s="212"/>
      <c r="DG61" s="212"/>
      <c r="DH61" s="212"/>
      <c r="DI61" s="212"/>
      <c r="DJ61" s="212"/>
      <c r="DK61" s="212"/>
      <c r="DL61" s="212"/>
      <c r="DM61" s="212"/>
      <c r="DN61" s="212"/>
      <c r="DO61" s="212"/>
      <c r="DP61" s="212"/>
      <c r="DQ61" s="212"/>
      <c r="DR61" s="212">
        <v>0</v>
      </c>
      <c r="DS61" s="212"/>
      <c r="DT61" s="212"/>
      <c r="DU61" s="212"/>
      <c r="DV61" s="212"/>
      <c r="DW61" s="212"/>
      <c r="DX61" s="212"/>
      <c r="DY61" s="212"/>
      <c r="DZ61" s="212"/>
      <c r="EA61" s="212"/>
      <c r="EB61" s="212"/>
      <c r="EC61" s="212"/>
      <c r="ED61" s="212"/>
      <c r="EE61" s="212"/>
      <c r="EF61" s="212"/>
      <c r="EG61" s="212">
        <f t="shared" si="5"/>
        <v>0</v>
      </c>
      <c r="EH61" s="212"/>
      <c r="EI61" s="212"/>
      <c r="EJ61" s="212"/>
      <c r="EK61" s="212"/>
      <c r="EL61" s="212"/>
      <c r="EM61" s="212"/>
      <c r="EN61" s="212"/>
      <c r="EO61" s="212"/>
      <c r="EP61" s="212"/>
      <c r="EQ61" s="212"/>
      <c r="ER61" s="212"/>
      <c r="ES61" s="212"/>
      <c r="ET61" s="212"/>
      <c r="EU61" s="212"/>
      <c r="EV61" s="284">
        <f t="shared" si="6"/>
        <v>0</v>
      </c>
      <c r="EW61" s="284"/>
      <c r="EX61" s="284"/>
      <c r="EY61" s="284"/>
      <c r="EZ61" s="284"/>
      <c r="FA61" s="284"/>
      <c r="FB61" s="284"/>
      <c r="FC61" s="284"/>
      <c r="FD61" s="284"/>
      <c r="FE61" s="284"/>
      <c r="FF61" s="284"/>
      <c r="FG61" s="284"/>
      <c r="FH61" s="284"/>
      <c r="FI61" s="284"/>
      <c r="FJ61" s="284"/>
    </row>
    <row r="62" spans="1:166" s="55" customFormat="1" ht="12.75" customHeight="1" thickBot="1">
      <c r="A62" s="326" t="s">
        <v>201</v>
      </c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  <c r="AJ62" s="327"/>
      <c r="AK62" s="327"/>
      <c r="AL62" s="327"/>
      <c r="AM62" s="327"/>
      <c r="AN62" s="272"/>
      <c r="AO62" s="272"/>
      <c r="AP62" s="272"/>
      <c r="AQ62" s="272"/>
      <c r="AR62" s="272"/>
      <c r="AS62" s="272"/>
      <c r="AT62" s="273" t="s">
        <v>200</v>
      </c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195">
        <f>BR63</f>
        <v>21400</v>
      </c>
      <c r="BS62" s="195"/>
      <c r="BT62" s="195"/>
      <c r="BU62" s="195"/>
      <c r="BV62" s="195"/>
      <c r="BW62" s="195"/>
      <c r="BX62" s="195"/>
      <c r="BY62" s="195"/>
      <c r="BZ62" s="195"/>
      <c r="CA62" s="195"/>
      <c r="CB62" s="195"/>
      <c r="CC62" s="195"/>
      <c r="CD62" s="195"/>
      <c r="CE62" s="195"/>
      <c r="CF62" s="195"/>
      <c r="CG62" s="195"/>
      <c r="CH62" s="195"/>
      <c r="CI62" s="195"/>
      <c r="CJ62" s="195"/>
      <c r="CK62" s="195"/>
      <c r="CL62" s="195"/>
      <c r="CM62" s="195">
        <f>CM63</f>
        <v>13650</v>
      </c>
      <c r="CN62" s="195"/>
      <c r="CO62" s="195"/>
      <c r="CP62" s="195"/>
      <c r="CQ62" s="195"/>
      <c r="CR62" s="195"/>
      <c r="CS62" s="195"/>
      <c r="CT62" s="195"/>
      <c r="CU62" s="195"/>
      <c r="CV62" s="195"/>
      <c r="CW62" s="195"/>
      <c r="CX62" s="195"/>
      <c r="CY62" s="195"/>
      <c r="CZ62" s="195"/>
      <c r="DA62" s="195"/>
      <c r="DB62" s="195"/>
      <c r="DC62" s="195">
        <v>0</v>
      </c>
      <c r="DD62" s="195"/>
      <c r="DE62" s="195"/>
      <c r="DF62" s="195"/>
      <c r="DG62" s="195"/>
      <c r="DH62" s="195"/>
      <c r="DI62" s="195"/>
      <c r="DJ62" s="195"/>
      <c r="DK62" s="195"/>
      <c r="DL62" s="195"/>
      <c r="DM62" s="195"/>
      <c r="DN62" s="195"/>
      <c r="DO62" s="195"/>
      <c r="DP62" s="195"/>
      <c r="DQ62" s="195"/>
      <c r="DR62" s="195">
        <v>0</v>
      </c>
      <c r="DS62" s="195"/>
      <c r="DT62" s="195"/>
      <c r="DU62" s="195"/>
      <c r="DV62" s="195"/>
      <c r="DW62" s="195"/>
      <c r="DX62" s="195"/>
      <c r="DY62" s="195"/>
      <c r="DZ62" s="195"/>
      <c r="EA62" s="195"/>
      <c r="EB62" s="195"/>
      <c r="EC62" s="195"/>
      <c r="ED62" s="195"/>
      <c r="EE62" s="195"/>
      <c r="EF62" s="195"/>
      <c r="EG62" s="195">
        <f t="shared" si="5"/>
        <v>13650</v>
      </c>
      <c r="EH62" s="195"/>
      <c r="EI62" s="195"/>
      <c r="EJ62" s="195"/>
      <c r="EK62" s="195"/>
      <c r="EL62" s="195"/>
      <c r="EM62" s="195"/>
      <c r="EN62" s="195"/>
      <c r="EO62" s="195"/>
      <c r="EP62" s="195"/>
      <c r="EQ62" s="195"/>
      <c r="ER62" s="195"/>
      <c r="ES62" s="195"/>
      <c r="ET62" s="195"/>
      <c r="EU62" s="195"/>
      <c r="EV62" s="188">
        <f t="shared" si="6"/>
        <v>7750</v>
      </c>
      <c r="EW62" s="188"/>
      <c r="EX62" s="188"/>
      <c r="EY62" s="188"/>
      <c r="EZ62" s="188"/>
      <c r="FA62" s="188"/>
      <c r="FB62" s="188"/>
      <c r="FC62" s="188"/>
      <c r="FD62" s="188"/>
      <c r="FE62" s="188"/>
      <c r="FF62" s="188"/>
      <c r="FG62" s="188"/>
      <c r="FH62" s="188"/>
      <c r="FI62" s="188"/>
      <c r="FJ62" s="189"/>
    </row>
    <row r="63" spans="1:166" s="56" customFormat="1" ht="54" customHeight="1">
      <c r="A63" s="328" t="s">
        <v>196</v>
      </c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8"/>
      <c r="Q63" s="328"/>
      <c r="R63" s="328"/>
      <c r="S63" s="328"/>
      <c r="T63" s="328"/>
      <c r="U63" s="328"/>
      <c r="V63" s="328"/>
      <c r="W63" s="328"/>
      <c r="X63" s="328"/>
      <c r="Y63" s="328"/>
      <c r="Z63" s="328"/>
      <c r="AA63" s="328"/>
      <c r="AB63" s="328"/>
      <c r="AC63" s="328"/>
      <c r="AD63" s="328"/>
      <c r="AE63" s="328"/>
      <c r="AF63" s="328"/>
      <c r="AG63" s="328"/>
      <c r="AH63" s="328"/>
      <c r="AI63" s="328"/>
      <c r="AJ63" s="328"/>
      <c r="AK63" s="328"/>
      <c r="AL63" s="328"/>
      <c r="AM63" s="328"/>
      <c r="AN63" s="318"/>
      <c r="AO63" s="318"/>
      <c r="AP63" s="318"/>
      <c r="AQ63" s="318"/>
      <c r="AR63" s="318"/>
      <c r="AS63" s="318"/>
      <c r="AT63" s="201" t="s">
        <v>199</v>
      </c>
      <c r="AU63" s="201"/>
      <c r="AV63" s="201"/>
      <c r="AW63" s="201"/>
      <c r="AX63" s="201"/>
      <c r="AY63" s="201"/>
      <c r="AZ63" s="201"/>
      <c r="BA63" s="201"/>
      <c r="BB63" s="201"/>
      <c r="BC63" s="201"/>
      <c r="BD63" s="201"/>
      <c r="BE63" s="201"/>
      <c r="BF63" s="201"/>
      <c r="BG63" s="201"/>
      <c r="BH63" s="201"/>
      <c r="BI63" s="201"/>
      <c r="BJ63" s="201"/>
      <c r="BK63" s="201"/>
      <c r="BL63" s="201"/>
      <c r="BM63" s="201"/>
      <c r="BN63" s="201"/>
      <c r="BO63" s="201"/>
      <c r="BP63" s="201"/>
      <c r="BQ63" s="201"/>
      <c r="BR63" s="202">
        <f>BR64</f>
        <v>21400</v>
      </c>
      <c r="BS63" s="202"/>
      <c r="BT63" s="202"/>
      <c r="BU63" s="202"/>
      <c r="BV63" s="202"/>
      <c r="BW63" s="202"/>
      <c r="BX63" s="202"/>
      <c r="BY63" s="202"/>
      <c r="BZ63" s="202"/>
      <c r="CA63" s="202"/>
      <c r="CB63" s="202"/>
      <c r="CC63" s="202"/>
      <c r="CD63" s="202"/>
      <c r="CE63" s="202"/>
      <c r="CF63" s="202"/>
      <c r="CG63" s="202"/>
      <c r="CH63" s="202"/>
      <c r="CI63" s="202"/>
      <c r="CJ63" s="202"/>
      <c r="CK63" s="202"/>
      <c r="CL63" s="202"/>
      <c r="CM63" s="202">
        <f>CM64</f>
        <v>13650</v>
      </c>
      <c r="CN63" s="202"/>
      <c r="CO63" s="202"/>
      <c r="CP63" s="202"/>
      <c r="CQ63" s="202"/>
      <c r="CR63" s="202"/>
      <c r="CS63" s="202"/>
      <c r="CT63" s="202"/>
      <c r="CU63" s="202"/>
      <c r="CV63" s="202"/>
      <c r="CW63" s="202"/>
      <c r="CX63" s="202"/>
      <c r="CY63" s="202"/>
      <c r="CZ63" s="202"/>
      <c r="DA63" s="202"/>
      <c r="DB63" s="202"/>
      <c r="DC63" s="202">
        <v>0</v>
      </c>
      <c r="DD63" s="202"/>
      <c r="DE63" s="202"/>
      <c r="DF63" s="202"/>
      <c r="DG63" s="202"/>
      <c r="DH63" s="202"/>
      <c r="DI63" s="202"/>
      <c r="DJ63" s="202"/>
      <c r="DK63" s="202"/>
      <c r="DL63" s="202"/>
      <c r="DM63" s="202"/>
      <c r="DN63" s="202"/>
      <c r="DO63" s="202"/>
      <c r="DP63" s="202"/>
      <c r="DQ63" s="202"/>
      <c r="DR63" s="202">
        <v>0</v>
      </c>
      <c r="DS63" s="202"/>
      <c r="DT63" s="202"/>
      <c r="DU63" s="202"/>
      <c r="DV63" s="202"/>
      <c r="DW63" s="202"/>
      <c r="DX63" s="202"/>
      <c r="DY63" s="202"/>
      <c r="DZ63" s="202"/>
      <c r="EA63" s="202"/>
      <c r="EB63" s="202"/>
      <c r="EC63" s="202"/>
      <c r="ED63" s="202"/>
      <c r="EE63" s="202"/>
      <c r="EF63" s="202"/>
      <c r="EG63" s="202">
        <f t="shared" si="5"/>
        <v>13650</v>
      </c>
      <c r="EH63" s="202"/>
      <c r="EI63" s="202"/>
      <c r="EJ63" s="202"/>
      <c r="EK63" s="202"/>
      <c r="EL63" s="202"/>
      <c r="EM63" s="202"/>
      <c r="EN63" s="202"/>
      <c r="EO63" s="202"/>
      <c r="EP63" s="202"/>
      <c r="EQ63" s="202"/>
      <c r="ER63" s="202"/>
      <c r="ES63" s="202"/>
      <c r="ET63" s="202"/>
      <c r="EU63" s="202"/>
      <c r="EV63" s="216">
        <f t="shared" si="6"/>
        <v>7750</v>
      </c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</row>
    <row r="64" spans="1:166" s="56" customFormat="1" ht="58.5" customHeight="1">
      <c r="A64" s="221" t="s">
        <v>196</v>
      </c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76"/>
      <c r="AO64" s="276"/>
      <c r="AP64" s="276"/>
      <c r="AQ64" s="276"/>
      <c r="AR64" s="276"/>
      <c r="AS64" s="276"/>
      <c r="AT64" s="190" t="s">
        <v>198</v>
      </c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1">
        <v>21400</v>
      </c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  <c r="CE64" s="191"/>
      <c r="CF64" s="191"/>
      <c r="CG64" s="191"/>
      <c r="CH64" s="191"/>
      <c r="CI64" s="191"/>
      <c r="CJ64" s="191"/>
      <c r="CK64" s="191"/>
      <c r="CL64" s="191"/>
      <c r="CM64" s="191">
        <f>CM65+CM66+CM67</f>
        <v>13650</v>
      </c>
      <c r="CN64" s="191"/>
      <c r="CO64" s="191"/>
      <c r="CP64" s="191"/>
      <c r="CQ64" s="191"/>
      <c r="CR64" s="191"/>
      <c r="CS64" s="191"/>
      <c r="CT64" s="191"/>
      <c r="CU64" s="191"/>
      <c r="CV64" s="191"/>
      <c r="CW64" s="191"/>
      <c r="CX64" s="191"/>
      <c r="CY64" s="191"/>
      <c r="CZ64" s="191"/>
      <c r="DA64" s="191"/>
      <c r="DB64" s="191"/>
      <c r="DC64" s="191">
        <v>0</v>
      </c>
      <c r="DD64" s="191"/>
      <c r="DE64" s="191"/>
      <c r="DF64" s="191"/>
      <c r="DG64" s="191"/>
      <c r="DH64" s="191"/>
      <c r="DI64" s="191"/>
      <c r="DJ64" s="191"/>
      <c r="DK64" s="191"/>
      <c r="DL64" s="191"/>
      <c r="DM64" s="191"/>
      <c r="DN64" s="191"/>
      <c r="DO64" s="191"/>
      <c r="DP64" s="191"/>
      <c r="DQ64" s="191"/>
      <c r="DR64" s="191">
        <v>0</v>
      </c>
      <c r="DS64" s="191"/>
      <c r="DT64" s="191"/>
      <c r="DU64" s="191"/>
      <c r="DV64" s="191"/>
      <c r="DW64" s="191"/>
      <c r="DX64" s="191"/>
      <c r="DY64" s="191"/>
      <c r="DZ64" s="191"/>
      <c r="EA64" s="191"/>
      <c r="EB64" s="191"/>
      <c r="EC64" s="191"/>
      <c r="ED64" s="191"/>
      <c r="EE64" s="191"/>
      <c r="EF64" s="191"/>
      <c r="EG64" s="191">
        <f t="shared" si="5"/>
        <v>13650</v>
      </c>
      <c r="EH64" s="191"/>
      <c r="EI64" s="191"/>
      <c r="EJ64" s="191"/>
      <c r="EK64" s="191"/>
      <c r="EL64" s="191"/>
      <c r="EM64" s="191"/>
      <c r="EN64" s="191"/>
      <c r="EO64" s="191"/>
      <c r="EP64" s="191"/>
      <c r="EQ64" s="191"/>
      <c r="ER64" s="191"/>
      <c r="ES64" s="191"/>
      <c r="ET64" s="191"/>
      <c r="EU64" s="191"/>
      <c r="EV64" s="220">
        <f>BR64-CM64</f>
        <v>7750</v>
      </c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</row>
    <row r="65" spans="1:167" s="55" customFormat="1" ht="53.25" customHeight="1">
      <c r="A65" s="221" t="s">
        <v>196</v>
      </c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94"/>
      <c r="AO65" s="294"/>
      <c r="AP65" s="294"/>
      <c r="AQ65" s="294"/>
      <c r="AR65" s="294"/>
      <c r="AS65" s="294"/>
      <c r="AT65" s="190" t="s">
        <v>197</v>
      </c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1">
        <v>0</v>
      </c>
      <c r="BS65" s="191"/>
      <c r="BT65" s="191"/>
      <c r="BU65" s="191"/>
      <c r="BV65" s="191"/>
      <c r="BW65" s="191"/>
      <c r="BX65" s="191"/>
      <c r="BY65" s="191"/>
      <c r="BZ65" s="191"/>
      <c r="CA65" s="191"/>
      <c r="CB65" s="191"/>
      <c r="CC65" s="191"/>
      <c r="CD65" s="191"/>
      <c r="CE65" s="191"/>
      <c r="CF65" s="191"/>
      <c r="CG65" s="191"/>
      <c r="CH65" s="191"/>
      <c r="CI65" s="191"/>
      <c r="CJ65" s="191"/>
      <c r="CK65" s="191"/>
      <c r="CL65" s="191"/>
      <c r="CM65" s="191">
        <f>11600+2050</f>
        <v>13650</v>
      </c>
      <c r="CN65" s="191"/>
      <c r="CO65" s="191"/>
      <c r="CP65" s="191"/>
      <c r="CQ65" s="191"/>
      <c r="CR65" s="191"/>
      <c r="CS65" s="191"/>
      <c r="CT65" s="191"/>
      <c r="CU65" s="191"/>
      <c r="CV65" s="191"/>
      <c r="CW65" s="191"/>
      <c r="CX65" s="191"/>
      <c r="CY65" s="191"/>
      <c r="CZ65" s="191"/>
      <c r="DA65" s="191"/>
      <c r="DB65" s="191"/>
      <c r="DC65" s="191">
        <v>0</v>
      </c>
      <c r="DD65" s="191"/>
      <c r="DE65" s="191"/>
      <c r="DF65" s="191"/>
      <c r="DG65" s="191"/>
      <c r="DH65" s="191"/>
      <c r="DI65" s="191"/>
      <c r="DJ65" s="191"/>
      <c r="DK65" s="191"/>
      <c r="DL65" s="191"/>
      <c r="DM65" s="191"/>
      <c r="DN65" s="191"/>
      <c r="DO65" s="191"/>
      <c r="DP65" s="191"/>
      <c r="DQ65" s="191"/>
      <c r="DR65" s="191">
        <v>0</v>
      </c>
      <c r="DS65" s="191"/>
      <c r="DT65" s="191"/>
      <c r="DU65" s="191"/>
      <c r="DV65" s="191"/>
      <c r="DW65" s="191"/>
      <c r="DX65" s="191"/>
      <c r="DY65" s="191"/>
      <c r="DZ65" s="191"/>
      <c r="EA65" s="191"/>
      <c r="EB65" s="191"/>
      <c r="EC65" s="191"/>
      <c r="ED65" s="191"/>
      <c r="EE65" s="191"/>
      <c r="EF65" s="191"/>
      <c r="EG65" s="191">
        <f t="shared" si="5"/>
        <v>13650</v>
      </c>
      <c r="EH65" s="191"/>
      <c r="EI65" s="191"/>
      <c r="EJ65" s="191"/>
      <c r="EK65" s="191"/>
      <c r="EL65" s="191"/>
      <c r="EM65" s="191"/>
      <c r="EN65" s="191"/>
      <c r="EO65" s="191"/>
      <c r="EP65" s="191"/>
      <c r="EQ65" s="191"/>
      <c r="ER65" s="191"/>
      <c r="ES65" s="191"/>
      <c r="ET65" s="191"/>
      <c r="EU65" s="191"/>
      <c r="EV65" s="220">
        <f t="shared" ref="EV65:EV86" si="7">BR65-EG65</f>
        <v>-13650</v>
      </c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</row>
    <row r="66" spans="1:167" s="55" customFormat="1" ht="53.25" customHeight="1">
      <c r="A66" s="231" t="s">
        <v>196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  <c r="AK66" s="231"/>
      <c r="AL66" s="231"/>
      <c r="AM66" s="232"/>
      <c r="AN66" s="289"/>
      <c r="AO66" s="228"/>
      <c r="AP66" s="228"/>
      <c r="AQ66" s="228"/>
      <c r="AR66" s="228"/>
      <c r="AS66" s="229"/>
      <c r="AT66" s="227" t="s">
        <v>195</v>
      </c>
      <c r="AU66" s="228"/>
      <c r="AV66" s="228"/>
      <c r="AW66" s="228"/>
      <c r="AX66" s="228"/>
      <c r="AY66" s="228"/>
      <c r="AZ66" s="228"/>
      <c r="BA66" s="228"/>
      <c r="BB66" s="228"/>
      <c r="BC66" s="228"/>
      <c r="BD66" s="228"/>
      <c r="BE66" s="228"/>
      <c r="BF66" s="228"/>
      <c r="BG66" s="228"/>
      <c r="BH66" s="228"/>
      <c r="BI66" s="228"/>
      <c r="BJ66" s="228"/>
      <c r="BK66" s="228"/>
      <c r="BL66" s="228"/>
      <c r="BM66" s="228"/>
      <c r="BN66" s="228"/>
      <c r="BO66" s="228"/>
      <c r="BP66" s="228"/>
      <c r="BQ66" s="229"/>
      <c r="BR66" s="192">
        <v>0</v>
      </c>
      <c r="BS66" s="193"/>
      <c r="BT66" s="193"/>
      <c r="BU66" s="193"/>
      <c r="BV66" s="193"/>
      <c r="BW66" s="193"/>
      <c r="BX66" s="193"/>
      <c r="BY66" s="193"/>
      <c r="BZ66" s="193"/>
      <c r="CA66" s="193"/>
      <c r="CB66" s="193"/>
      <c r="CC66" s="193"/>
      <c r="CD66" s="193"/>
      <c r="CE66" s="193"/>
      <c r="CF66" s="193"/>
      <c r="CG66" s="193"/>
      <c r="CH66" s="193"/>
      <c r="CI66" s="193"/>
      <c r="CJ66" s="193"/>
      <c r="CK66" s="193"/>
      <c r="CL66" s="194"/>
      <c r="CM66" s="192">
        <v>0</v>
      </c>
      <c r="CN66" s="193"/>
      <c r="CO66" s="193"/>
      <c r="CP66" s="193"/>
      <c r="CQ66" s="193"/>
      <c r="CR66" s="193"/>
      <c r="CS66" s="193"/>
      <c r="CT66" s="193"/>
      <c r="CU66" s="193"/>
      <c r="CV66" s="193"/>
      <c r="CW66" s="193"/>
      <c r="CX66" s="193"/>
      <c r="CY66" s="193"/>
      <c r="CZ66" s="193"/>
      <c r="DA66" s="193"/>
      <c r="DB66" s="194"/>
      <c r="DC66" s="192">
        <v>0</v>
      </c>
      <c r="DD66" s="193"/>
      <c r="DE66" s="193"/>
      <c r="DF66" s="193"/>
      <c r="DG66" s="193"/>
      <c r="DH66" s="193"/>
      <c r="DI66" s="193"/>
      <c r="DJ66" s="193"/>
      <c r="DK66" s="193"/>
      <c r="DL66" s="193"/>
      <c r="DM66" s="193"/>
      <c r="DN66" s="193"/>
      <c r="DO66" s="193"/>
      <c r="DP66" s="193"/>
      <c r="DQ66" s="194"/>
      <c r="DR66" s="192">
        <v>0</v>
      </c>
      <c r="DS66" s="193"/>
      <c r="DT66" s="193"/>
      <c r="DU66" s="193"/>
      <c r="DV66" s="193"/>
      <c r="DW66" s="193"/>
      <c r="DX66" s="193"/>
      <c r="DY66" s="193"/>
      <c r="DZ66" s="193"/>
      <c r="EA66" s="193"/>
      <c r="EB66" s="193"/>
      <c r="EC66" s="193"/>
      <c r="ED66" s="193"/>
      <c r="EE66" s="193"/>
      <c r="EF66" s="194"/>
      <c r="EG66" s="192">
        <f t="shared" si="5"/>
        <v>0</v>
      </c>
      <c r="EH66" s="193"/>
      <c r="EI66" s="193"/>
      <c r="EJ66" s="193"/>
      <c r="EK66" s="193"/>
      <c r="EL66" s="193"/>
      <c r="EM66" s="193"/>
      <c r="EN66" s="193"/>
      <c r="EO66" s="193"/>
      <c r="EP66" s="193"/>
      <c r="EQ66" s="193"/>
      <c r="ER66" s="193"/>
      <c r="ES66" s="193"/>
      <c r="ET66" s="193"/>
      <c r="EU66" s="194"/>
      <c r="EV66" s="192">
        <f t="shared" si="7"/>
        <v>0</v>
      </c>
      <c r="EW66" s="193"/>
      <c r="EX66" s="193"/>
      <c r="EY66" s="193"/>
      <c r="EZ66" s="193"/>
      <c r="FA66" s="193"/>
      <c r="FB66" s="193"/>
      <c r="FC66" s="193"/>
      <c r="FD66" s="193"/>
      <c r="FE66" s="193"/>
      <c r="FF66" s="193"/>
      <c r="FG66" s="193"/>
      <c r="FH66" s="193"/>
      <c r="FI66" s="193"/>
      <c r="FJ66" s="329"/>
    </row>
    <row r="67" spans="1:167" s="55" customFormat="1" ht="78" customHeight="1">
      <c r="A67" s="231" t="s">
        <v>194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1"/>
      <c r="AL67" s="231"/>
      <c r="AM67" s="232"/>
      <c r="AN67" s="289"/>
      <c r="AO67" s="228"/>
      <c r="AP67" s="228"/>
      <c r="AQ67" s="228"/>
      <c r="AR67" s="228"/>
      <c r="AS67" s="229"/>
      <c r="AT67" s="227" t="s">
        <v>193</v>
      </c>
      <c r="AU67" s="228"/>
      <c r="AV67" s="228"/>
      <c r="AW67" s="228"/>
      <c r="AX67" s="228"/>
      <c r="AY67" s="228"/>
      <c r="AZ67" s="228"/>
      <c r="BA67" s="228"/>
      <c r="BB67" s="228"/>
      <c r="BC67" s="228"/>
      <c r="BD67" s="228"/>
      <c r="BE67" s="228"/>
      <c r="BF67" s="228"/>
      <c r="BG67" s="228"/>
      <c r="BH67" s="228"/>
      <c r="BI67" s="228"/>
      <c r="BJ67" s="228"/>
      <c r="BK67" s="228"/>
      <c r="BL67" s="228"/>
      <c r="BM67" s="228"/>
      <c r="BN67" s="228"/>
      <c r="BO67" s="228"/>
      <c r="BP67" s="228"/>
      <c r="BQ67" s="229"/>
      <c r="BR67" s="192">
        <v>0</v>
      </c>
      <c r="BS67" s="193"/>
      <c r="BT67" s="193"/>
      <c r="BU67" s="193"/>
      <c r="BV67" s="193"/>
      <c r="BW67" s="193"/>
      <c r="BX67" s="193"/>
      <c r="BY67" s="193"/>
      <c r="BZ67" s="193"/>
      <c r="CA67" s="193"/>
      <c r="CB67" s="193"/>
      <c r="CC67" s="193"/>
      <c r="CD67" s="193"/>
      <c r="CE67" s="193"/>
      <c r="CF67" s="193"/>
      <c r="CG67" s="193"/>
      <c r="CH67" s="193"/>
      <c r="CI67" s="193"/>
      <c r="CJ67" s="193"/>
      <c r="CK67" s="193"/>
      <c r="CL67" s="194"/>
      <c r="CM67" s="192">
        <v>0</v>
      </c>
      <c r="CN67" s="193"/>
      <c r="CO67" s="193"/>
      <c r="CP67" s="193"/>
      <c r="CQ67" s="193"/>
      <c r="CR67" s="193"/>
      <c r="CS67" s="193"/>
      <c r="CT67" s="193"/>
      <c r="CU67" s="193"/>
      <c r="CV67" s="193"/>
      <c r="CW67" s="193"/>
      <c r="CX67" s="193"/>
      <c r="CY67" s="193"/>
      <c r="CZ67" s="193"/>
      <c r="DA67" s="193"/>
      <c r="DB67" s="194"/>
      <c r="DC67" s="192">
        <v>0</v>
      </c>
      <c r="DD67" s="193"/>
      <c r="DE67" s="193"/>
      <c r="DF67" s="193"/>
      <c r="DG67" s="193"/>
      <c r="DH67" s="193"/>
      <c r="DI67" s="193"/>
      <c r="DJ67" s="193"/>
      <c r="DK67" s="193"/>
      <c r="DL67" s="193"/>
      <c r="DM67" s="193"/>
      <c r="DN67" s="193"/>
      <c r="DO67" s="193"/>
      <c r="DP67" s="193"/>
      <c r="DQ67" s="194"/>
      <c r="DR67" s="192">
        <v>0</v>
      </c>
      <c r="DS67" s="193"/>
      <c r="DT67" s="193"/>
      <c r="DU67" s="193"/>
      <c r="DV67" s="193"/>
      <c r="DW67" s="193"/>
      <c r="DX67" s="193"/>
      <c r="DY67" s="193"/>
      <c r="DZ67" s="193"/>
      <c r="EA67" s="193"/>
      <c r="EB67" s="193"/>
      <c r="EC67" s="193"/>
      <c r="ED67" s="193"/>
      <c r="EE67" s="193"/>
      <c r="EF67" s="194"/>
      <c r="EG67" s="192">
        <f t="shared" si="5"/>
        <v>0</v>
      </c>
      <c r="EH67" s="193"/>
      <c r="EI67" s="193"/>
      <c r="EJ67" s="193"/>
      <c r="EK67" s="193"/>
      <c r="EL67" s="193"/>
      <c r="EM67" s="193"/>
      <c r="EN67" s="193"/>
      <c r="EO67" s="193"/>
      <c r="EP67" s="193"/>
      <c r="EQ67" s="193"/>
      <c r="ER67" s="193"/>
      <c r="ES67" s="193"/>
      <c r="ET67" s="193"/>
      <c r="EU67" s="194"/>
      <c r="EV67" s="192">
        <f t="shared" si="7"/>
        <v>0</v>
      </c>
      <c r="EW67" s="193"/>
      <c r="EX67" s="193"/>
      <c r="EY67" s="193"/>
      <c r="EZ67" s="193"/>
      <c r="FA67" s="193"/>
      <c r="FB67" s="193"/>
      <c r="FC67" s="193"/>
      <c r="FD67" s="193"/>
      <c r="FE67" s="193"/>
      <c r="FF67" s="193"/>
      <c r="FG67" s="193"/>
      <c r="FH67" s="193"/>
      <c r="FI67" s="193"/>
      <c r="FJ67" s="329"/>
    </row>
    <row r="68" spans="1:167" s="53" customFormat="1" ht="40.5" customHeight="1">
      <c r="A68" s="330" t="s">
        <v>192</v>
      </c>
      <c r="B68" s="331"/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  <c r="V68" s="331"/>
      <c r="W68" s="331"/>
      <c r="X68" s="331"/>
      <c r="Y68" s="331"/>
      <c r="Z68" s="331"/>
      <c r="AA68" s="331"/>
      <c r="AB68" s="331"/>
      <c r="AC68" s="331"/>
      <c r="AD68" s="331"/>
      <c r="AE68" s="331"/>
      <c r="AF68" s="331"/>
      <c r="AG68" s="331"/>
      <c r="AH68" s="331"/>
      <c r="AI68" s="331"/>
      <c r="AJ68" s="331"/>
      <c r="AK68" s="331"/>
      <c r="AL68" s="331"/>
      <c r="AM68" s="332"/>
      <c r="AN68" s="333"/>
      <c r="AO68" s="334"/>
      <c r="AP68" s="334"/>
      <c r="AQ68" s="334"/>
      <c r="AR68" s="334"/>
      <c r="AS68" s="335"/>
      <c r="AT68" s="336" t="s">
        <v>191</v>
      </c>
      <c r="AU68" s="337"/>
      <c r="AV68" s="337"/>
      <c r="AW68" s="337"/>
      <c r="AX68" s="337"/>
      <c r="AY68" s="337"/>
      <c r="AZ68" s="337"/>
      <c r="BA68" s="337"/>
      <c r="BB68" s="337"/>
      <c r="BC68" s="337"/>
      <c r="BD68" s="337"/>
      <c r="BE68" s="337"/>
      <c r="BF68" s="337"/>
      <c r="BG68" s="337"/>
      <c r="BH68" s="337"/>
      <c r="BI68" s="337"/>
      <c r="BJ68" s="337"/>
      <c r="BK68" s="337"/>
      <c r="BL68" s="337"/>
      <c r="BM68" s="337"/>
      <c r="BN68" s="337"/>
      <c r="BO68" s="337"/>
      <c r="BP68" s="337"/>
      <c r="BQ68" s="338"/>
      <c r="BR68" s="339">
        <v>0</v>
      </c>
      <c r="BS68" s="340"/>
      <c r="BT68" s="340"/>
      <c r="BU68" s="340"/>
      <c r="BV68" s="340"/>
      <c r="BW68" s="340"/>
      <c r="BX68" s="340"/>
      <c r="BY68" s="340"/>
      <c r="BZ68" s="340"/>
      <c r="CA68" s="340"/>
      <c r="CB68" s="340"/>
      <c r="CC68" s="340"/>
      <c r="CD68" s="340"/>
      <c r="CE68" s="340"/>
      <c r="CF68" s="340"/>
      <c r="CG68" s="340"/>
      <c r="CH68" s="340"/>
      <c r="CI68" s="340"/>
      <c r="CJ68" s="340"/>
      <c r="CK68" s="340"/>
      <c r="CL68" s="341"/>
      <c r="CM68" s="339">
        <f>CM69</f>
        <v>72982.39</v>
      </c>
      <c r="CN68" s="340"/>
      <c r="CO68" s="340"/>
      <c r="CP68" s="340"/>
      <c r="CQ68" s="340"/>
      <c r="CR68" s="340"/>
      <c r="CS68" s="340"/>
      <c r="CT68" s="340"/>
      <c r="CU68" s="340"/>
      <c r="CV68" s="340"/>
      <c r="CW68" s="340"/>
      <c r="CX68" s="340"/>
      <c r="CY68" s="340"/>
      <c r="CZ68" s="340"/>
      <c r="DA68" s="340"/>
      <c r="DB68" s="341"/>
      <c r="DC68" s="339">
        <v>0</v>
      </c>
      <c r="DD68" s="340"/>
      <c r="DE68" s="340"/>
      <c r="DF68" s="340"/>
      <c r="DG68" s="340"/>
      <c r="DH68" s="340"/>
      <c r="DI68" s="340"/>
      <c r="DJ68" s="340"/>
      <c r="DK68" s="340"/>
      <c r="DL68" s="340"/>
      <c r="DM68" s="340"/>
      <c r="DN68" s="340"/>
      <c r="DO68" s="340"/>
      <c r="DP68" s="340"/>
      <c r="DQ68" s="341"/>
      <c r="DR68" s="339">
        <v>0</v>
      </c>
      <c r="DS68" s="340"/>
      <c r="DT68" s="340"/>
      <c r="DU68" s="340"/>
      <c r="DV68" s="340"/>
      <c r="DW68" s="340"/>
      <c r="DX68" s="340"/>
      <c r="DY68" s="340"/>
      <c r="DZ68" s="340"/>
      <c r="EA68" s="340"/>
      <c r="EB68" s="340"/>
      <c r="EC68" s="340"/>
      <c r="ED68" s="340"/>
      <c r="EE68" s="340"/>
      <c r="EF68" s="341"/>
      <c r="EG68" s="339">
        <f t="shared" si="5"/>
        <v>72982.39</v>
      </c>
      <c r="EH68" s="340"/>
      <c r="EI68" s="340"/>
      <c r="EJ68" s="340"/>
      <c r="EK68" s="340"/>
      <c r="EL68" s="340"/>
      <c r="EM68" s="340"/>
      <c r="EN68" s="340"/>
      <c r="EO68" s="340"/>
      <c r="EP68" s="340"/>
      <c r="EQ68" s="340"/>
      <c r="ER68" s="340"/>
      <c r="ES68" s="340"/>
      <c r="ET68" s="340"/>
      <c r="EU68" s="340"/>
      <c r="EV68" s="345">
        <f t="shared" si="7"/>
        <v>-72982.39</v>
      </c>
      <c r="EW68" s="340"/>
      <c r="EX68" s="340"/>
      <c r="EY68" s="340"/>
      <c r="EZ68" s="340"/>
      <c r="FA68" s="340"/>
      <c r="FB68" s="340"/>
      <c r="FC68" s="340"/>
      <c r="FD68" s="340"/>
      <c r="FE68" s="340"/>
      <c r="FF68" s="340"/>
      <c r="FG68" s="340"/>
      <c r="FH68" s="340"/>
      <c r="FI68" s="340"/>
      <c r="FJ68" s="346"/>
      <c r="FK68" s="54"/>
    </row>
    <row r="69" spans="1:167" s="53" customFormat="1" ht="28.5" customHeight="1">
      <c r="A69" s="347" t="s">
        <v>24</v>
      </c>
      <c r="B69" s="347"/>
      <c r="C69" s="347"/>
      <c r="D69" s="347"/>
      <c r="E69" s="347"/>
      <c r="F69" s="347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7"/>
      <c r="AK69" s="347"/>
      <c r="AL69" s="347"/>
      <c r="AM69" s="348"/>
      <c r="AN69" s="349"/>
      <c r="AO69" s="350"/>
      <c r="AP69" s="350"/>
      <c r="AQ69" s="350"/>
      <c r="AR69" s="350"/>
      <c r="AS69" s="351"/>
      <c r="AT69" s="352" t="s">
        <v>190</v>
      </c>
      <c r="AU69" s="353"/>
      <c r="AV69" s="353"/>
      <c r="AW69" s="353"/>
      <c r="AX69" s="353"/>
      <c r="AY69" s="353"/>
      <c r="AZ69" s="353"/>
      <c r="BA69" s="353"/>
      <c r="BB69" s="353"/>
      <c r="BC69" s="353"/>
      <c r="BD69" s="353"/>
      <c r="BE69" s="353"/>
      <c r="BF69" s="353"/>
      <c r="BG69" s="353"/>
      <c r="BH69" s="353"/>
      <c r="BI69" s="353"/>
      <c r="BJ69" s="353"/>
      <c r="BK69" s="353"/>
      <c r="BL69" s="353"/>
      <c r="BM69" s="353"/>
      <c r="BN69" s="353"/>
      <c r="BO69" s="353"/>
      <c r="BP69" s="353"/>
      <c r="BQ69" s="354"/>
      <c r="BR69" s="342">
        <v>0</v>
      </c>
      <c r="BS69" s="343"/>
      <c r="BT69" s="343"/>
      <c r="BU69" s="343"/>
      <c r="BV69" s="343"/>
      <c r="BW69" s="343"/>
      <c r="BX69" s="343"/>
      <c r="BY69" s="343"/>
      <c r="BZ69" s="343"/>
      <c r="CA69" s="343"/>
      <c r="CB69" s="343"/>
      <c r="CC69" s="343"/>
      <c r="CD69" s="343"/>
      <c r="CE69" s="343"/>
      <c r="CF69" s="343"/>
      <c r="CG69" s="343"/>
      <c r="CH69" s="343"/>
      <c r="CI69" s="343"/>
      <c r="CJ69" s="343"/>
      <c r="CK69" s="343"/>
      <c r="CL69" s="344"/>
      <c r="CM69" s="342">
        <f>CM70</f>
        <v>72982.39</v>
      </c>
      <c r="CN69" s="343"/>
      <c r="CO69" s="343"/>
      <c r="CP69" s="343"/>
      <c r="CQ69" s="343"/>
      <c r="CR69" s="343"/>
      <c r="CS69" s="343"/>
      <c r="CT69" s="343"/>
      <c r="CU69" s="343"/>
      <c r="CV69" s="343"/>
      <c r="CW69" s="343"/>
      <c r="CX69" s="343"/>
      <c r="CY69" s="343"/>
      <c r="CZ69" s="343"/>
      <c r="DA69" s="343"/>
      <c r="DB69" s="344"/>
      <c r="DC69" s="342">
        <v>0</v>
      </c>
      <c r="DD69" s="343"/>
      <c r="DE69" s="343"/>
      <c r="DF69" s="343"/>
      <c r="DG69" s="343"/>
      <c r="DH69" s="343"/>
      <c r="DI69" s="343"/>
      <c r="DJ69" s="343"/>
      <c r="DK69" s="343"/>
      <c r="DL69" s="343"/>
      <c r="DM69" s="343"/>
      <c r="DN69" s="343"/>
      <c r="DO69" s="343"/>
      <c r="DP69" s="343"/>
      <c r="DQ69" s="344"/>
      <c r="DR69" s="342">
        <v>0</v>
      </c>
      <c r="DS69" s="343"/>
      <c r="DT69" s="343"/>
      <c r="DU69" s="343"/>
      <c r="DV69" s="343"/>
      <c r="DW69" s="343"/>
      <c r="DX69" s="343"/>
      <c r="DY69" s="343"/>
      <c r="DZ69" s="343"/>
      <c r="EA69" s="343"/>
      <c r="EB69" s="343"/>
      <c r="EC69" s="343"/>
      <c r="ED69" s="343"/>
      <c r="EE69" s="343"/>
      <c r="EF69" s="344"/>
      <c r="EG69" s="342">
        <f t="shared" si="5"/>
        <v>72982.39</v>
      </c>
      <c r="EH69" s="343"/>
      <c r="EI69" s="343"/>
      <c r="EJ69" s="343"/>
      <c r="EK69" s="343"/>
      <c r="EL69" s="343"/>
      <c r="EM69" s="343"/>
      <c r="EN69" s="343"/>
      <c r="EO69" s="343"/>
      <c r="EP69" s="343"/>
      <c r="EQ69" s="343"/>
      <c r="ER69" s="343"/>
      <c r="ES69" s="343"/>
      <c r="ET69" s="343"/>
      <c r="EU69" s="344"/>
      <c r="EV69" s="342">
        <f t="shared" si="7"/>
        <v>-72982.39</v>
      </c>
      <c r="EW69" s="343"/>
      <c r="EX69" s="343"/>
      <c r="EY69" s="343"/>
      <c r="EZ69" s="343"/>
      <c r="FA69" s="343"/>
      <c r="FB69" s="343"/>
      <c r="FC69" s="343"/>
      <c r="FD69" s="343"/>
      <c r="FE69" s="343"/>
      <c r="FF69" s="343"/>
      <c r="FG69" s="343"/>
      <c r="FH69" s="343"/>
      <c r="FI69" s="343"/>
      <c r="FJ69" s="343"/>
    </row>
    <row r="70" spans="1:167" s="53" customFormat="1" ht="31.5" customHeight="1" thickBot="1">
      <c r="A70" s="160" t="s">
        <v>189</v>
      </c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1"/>
      <c r="AN70" s="162"/>
      <c r="AO70" s="163"/>
      <c r="AP70" s="163"/>
      <c r="AQ70" s="163"/>
      <c r="AR70" s="163"/>
      <c r="AS70" s="164"/>
      <c r="AT70" s="165" t="s">
        <v>188</v>
      </c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6"/>
      <c r="BQ70" s="167"/>
      <c r="BR70" s="157">
        <v>0</v>
      </c>
      <c r="BS70" s="158"/>
      <c r="BT70" s="158"/>
      <c r="BU70" s="158"/>
      <c r="BV70" s="158"/>
      <c r="BW70" s="158"/>
      <c r="BX70" s="158"/>
      <c r="BY70" s="158"/>
      <c r="BZ70" s="158"/>
      <c r="CA70" s="158"/>
      <c r="CB70" s="158"/>
      <c r="CC70" s="158"/>
      <c r="CD70" s="158"/>
      <c r="CE70" s="158"/>
      <c r="CF70" s="158"/>
      <c r="CG70" s="158"/>
      <c r="CH70" s="158"/>
      <c r="CI70" s="158"/>
      <c r="CJ70" s="158"/>
      <c r="CK70" s="158"/>
      <c r="CL70" s="159"/>
      <c r="CM70" s="157">
        <f>61630.61+10708.92+642.86</f>
        <v>72982.39</v>
      </c>
      <c r="CN70" s="158"/>
      <c r="CO70" s="158"/>
      <c r="CP70" s="158"/>
      <c r="CQ70" s="158"/>
      <c r="CR70" s="158"/>
      <c r="CS70" s="158"/>
      <c r="CT70" s="158"/>
      <c r="CU70" s="158"/>
      <c r="CV70" s="158"/>
      <c r="CW70" s="158"/>
      <c r="CX70" s="158"/>
      <c r="CY70" s="158"/>
      <c r="CZ70" s="158"/>
      <c r="DA70" s="158"/>
      <c r="DB70" s="159"/>
      <c r="DC70" s="157">
        <v>0</v>
      </c>
      <c r="DD70" s="158"/>
      <c r="DE70" s="158"/>
      <c r="DF70" s="158"/>
      <c r="DG70" s="158"/>
      <c r="DH70" s="158"/>
      <c r="DI70" s="158"/>
      <c r="DJ70" s="158"/>
      <c r="DK70" s="158"/>
      <c r="DL70" s="158"/>
      <c r="DM70" s="158"/>
      <c r="DN70" s="158"/>
      <c r="DO70" s="158"/>
      <c r="DP70" s="158"/>
      <c r="DQ70" s="159"/>
      <c r="DR70" s="157">
        <v>0</v>
      </c>
      <c r="DS70" s="158"/>
      <c r="DT70" s="158"/>
      <c r="DU70" s="158"/>
      <c r="DV70" s="158"/>
      <c r="DW70" s="158"/>
      <c r="DX70" s="158"/>
      <c r="DY70" s="158"/>
      <c r="DZ70" s="158"/>
      <c r="EA70" s="158"/>
      <c r="EB70" s="158"/>
      <c r="EC70" s="158"/>
      <c r="ED70" s="158"/>
      <c r="EE70" s="158"/>
      <c r="EF70" s="159"/>
      <c r="EG70" s="157">
        <f t="shared" si="5"/>
        <v>72982.39</v>
      </c>
      <c r="EH70" s="158"/>
      <c r="EI70" s="158"/>
      <c r="EJ70" s="158"/>
      <c r="EK70" s="158"/>
      <c r="EL70" s="158"/>
      <c r="EM70" s="158"/>
      <c r="EN70" s="158"/>
      <c r="EO70" s="158"/>
      <c r="EP70" s="158"/>
      <c r="EQ70" s="158"/>
      <c r="ER70" s="158"/>
      <c r="ES70" s="158"/>
      <c r="ET70" s="158"/>
      <c r="EU70" s="159"/>
      <c r="EV70" s="157">
        <f t="shared" si="7"/>
        <v>-72982.39</v>
      </c>
      <c r="EW70" s="158"/>
      <c r="EX70" s="158"/>
      <c r="EY70" s="158"/>
      <c r="EZ70" s="158"/>
      <c r="FA70" s="158"/>
      <c r="FB70" s="158"/>
      <c r="FC70" s="158"/>
      <c r="FD70" s="158"/>
      <c r="FE70" s="158"/>
      <c r="FF70" s="158"/>
      <c r="FG70" s="158"/>
      <c r="FH70" s="158"/>
      <c r="FI70" s="158"/>
      <c r="FJ70" s="158"/>
    </row>
    <row r="71" spans="1:167" s="53" customFormat="1" ht="31.5" customHeight="1" thickBot="1">
      <c r="A71" s="238" t="s">
        <v>187</v>
      </c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9"/>
      <c r="AN71" s="162"/>
      <c r="AO71" s="163"/>
      <c r="AP71" s="163"/>
      <c r="AQ71" s="163"/>
      <c r="AR71" s="163"/>
      <c r="AS71" s="164"/>
      <c r="AT71" s="168" t="s">
        <v>186</v>
      </c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70"/>
      <c r="BR71" s="171">
        <f>BR72</f>
        <v>0</v>
      </c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  <c r="CH71" s="172"/>
      <c r="CI71" s="172"/>
      <c r="CJ71" s="172"/>
      <c r="CK71" s="172"/>
      <c r="CL71" s="173"/>
      <c r="CM71" s="171">
        <f>CM72</f>
        <v>0</v>
      </c>
      <c r="CN71" s="172"/>
      <c r="CO71" s="172"/>
      <c r="CP71" s="172"/>
      <c r="CQ71" s="172"/>
      <c r="CR71" s="172"/>
      <c r="CS71" s="172"/>
      <c r="CT71" s="172"/>
      <c r="CU71" s="172"/>
      <c r="CV71" s="172"/>
      <c r="CW71" s="172"/>
      <c r="CX71" s="172"/>
      <c r="CY71" s="172"/>
      <c r="CZ71" s="172"/>
      <c r="DA71" s="172"/>
      <c r="DB71" s="173"/>
      <c r="DC71" s="171">
        <v>0</v>
      </c>
      <c r="DD71" s="172"/>
      <c r="DE71" s="172"/>
      <c r="DF71" s="172"/>
      <c r="DG71" s="172"/>
      <c r="DH71" s="172"/>
      <c r="DI71" s="172"/>
      <c r="DJ71" s="172"/>
      <c r="DK71" s="172"/>
      <c r="DL71" s="172"/>
      <c r="DM71" s="172"/>
      <c r="DN71" s="172"/>
      <c r="DO71" s="172"/>
      <c r="DP71" s="172"/>
      <c r="DQ71" s="173"/>
      <c r="DR71" s="171">
        <v>0</v>
      </c>
      <c r="DS71" s="172"/>
      <c r="DT71" s="172"/>
      <c r="DU71" s="172"/>
      <c r="DV71" s="172"/>
      <c r="DW71" s="172"/>
      <c r="DX71" s="172"/>
      <c r="DY71" s="172"/>
      <c r="DZ71" s="172"/>
      <c r="EA71" s="172"/>
      <c r="EB71" s="172"/>
      <c r="EC71" s="172"/>
      <c r="ED71" s="172"/>
      <c r="EE71" s="172"/>
      <c r="EF71" s="173"/>
      <c r="EG71" s="171">
        <f t="shared" si="5"/>
        <v>0</v>
      </c>
      <c r="EH71" s="172"/>
      <c r="EI71" s="172"/>
      <c r="EJ71" s="172"/>
      <c r="EK71" s="172"/>
      <c r="EL71" s="172"/>
      <c r="EM71" s="172"/>
      <c r="EN71" s="172"/>
      <c r="EO71" s="172"/>
      <c r="EP71" s="172"/>
      <c r="EQ71" s="172"/>
      <c r="ER71" s="172"/>
      <c r="ES71" s="172"/>
      <c r="ET71" s="172"/>
      <c r="EU71" s="173"/>
      <c r="EV71" s="171">
        <f t="shared" si="7"/>
        <v>0</v>
      </c>
      <c r="EW71" s="172"/>
      <c r="EX71" s="172"/>
      <c r="EY71" s="172"/>
      <c r="EZ71" s="172"/>
      <c r="FA71" s="172"/>
      <c r="FB71" s="172"/>
      <c r="FC71" s="172"/>
      <c r="FD71" s="172"/>
      <c r="FE71" s="172"/>
      <c r="FF71" s="172"/>
      <c r="FG71" s="172"/>
      <c r="FH71" s="172"/>
      <c r="FI71" s="172"/>
      <c r="FJ71" s="172"/>
    </row>
    <row r="72" spans="1:167" s="53" customFormat="1" ht="43.5" customHeight="1" thickBot="1">
      <c r="A72" s="160" t="s">
        <v>89</v>
      </c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1"/>
      <c r="AN72" s="162"/>
      <c r="AO72" s="163"/>
      <c r="AP72" s="163"/>
      <c r="AQ72" s="163"/>
      <c r="AR72" s="163"/>
      <c r="AS72" s="164"/>
      <c r="AT72" s="165" t="s">
        <v>185</v>
      </c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6"/>
      <c r="BQ72" s="167"/>
      <c r="BR72" s="157">
        <f>BR73</f>
        <v>0</v>
      </c>
      <c r="BS72" s="158"/>
      <c r="BT72" s="158"/>
      <c r="BU72" s="158"/>
      <c r="BV72" s="158"/>
      <c r="BW72" s="158"/>
      <c r="BX72" s="158"/>
      <c r="BY72" s="158"/>
      <c r="BZ72" s="158"/>
      <c r="CA72" s="158"/>
      <c r="CB72" s="158"/>
      <c r="CC72" s="158"/>
      <c r="CD72" s="158"/>
      <c r="CE72" s="158"/>
      <c r="CF72" s="158"/>
      <c r="CG72" s="158"/>
      <c r="CH72" s="158"/>
      <c r="CI72" s="158"/>
      <c r="CJ72" s="158"/>
      <c r="CK72" s="158"/>
      <c r="CL72" s="159"/>
      <c r="CM72" s="157">
        <v>0</v>
      </c>
      <c r="CN72" s="158"/>
      <c r="CO72" s="158"/>
      <c r="CP72" s="158"/>
      <c r="CQ72" s="158"/>
      <c r="CR72" s="158"/>
      <c r="CS72" s="158"/>
      <c r="CT72" s="158"/>
      <c r="CU72" s="158"/>
      <c r="CV72" s="158"/>
      <c r="CW72" s="158"/>
      <c r="CX72" s="158"/>
      <c r="CY72" s="158"/>
      <c r="CZ72" s="158"/>
      <c r="DA72" s="158"/>
      <c r="DB72" s="159"/>
      <c r="DC72" s="157">
        <v>0</v>
      </c>
      <c r="DD72" s="158"/>
      <c r="DE72" s="158"/>
      <c r="DF72" s="158"/>
      <c r="DG72" s="158"/>
      <c r="DH72" s="158"/>
      <c r="DI72" s="158"/>
      <c r="DJ72" s="158"/>
      <c r="DK72" s="158"/>
      <c r="DL72" s="158"/>
      <c r="DM72" s="158"/>
      <c r="DN72" s="158"/>
      <c r="DO72" s="158"/>
      <c r="DP72" s="158"/>
      <c r="DQ72" s="159"/>
      <c r="DR72" s="157">
        <v>0</v>
      </c>
      <c r="DS72" s="158"/>
      <c r="DT72" s="158"/>
      <c r="DU72" s="158"/>
      <c r="DV72" s="158"/>
      <c r="DW72" s="158"/>
      <c r="DX72" s="158"/>
      <c r="DY72" s="158"/>
      <c r="DZ72" s="158"/>
      <c r="EA72" s="158"/>
      <c r="EB72" s="158"/>
      <c r="EC72" s="158"/>
      <c r="ED72" s="158"/>
      <c r="EE72" s="158"/>
      <c r="EF72" s="159"/>
      <c r="EG72" s="157">
        <f t="shared" si="5"/>
        <v>0</v>
      </c>
      <c r="EH72" s="158"/>
      <c r="EI72" s="158"/>
      <c r="EJ72" s="158"/>
      <c r="EK72" s="158"/>
      <c r="EL72" s="158"/>
      <c r="EM72" s="158"/>
      <c r="EN72" s="158"/>
      <c r="EO72" s="158"/>
      <c r="EP72" s="158"/>
      <c r="EQ72" s="158"/>
      <c r="ER72" s="158"/>
      <c r="ES72" s="158"/>
      <c r="ET72" s="158"/>
      <c r="EU72" s="159"/>
      <c r="EV72" s="157">
        <f t="shared" si="7"/>
        <v>0</v>
      </c>
      <c r="EW72" s="158"/>
      <c r="EX72" s="158"/>
      <c r="EY72" s="158"/>
      <c r="EZ72" s="158"/>
      <c r="FA72" s="158"/>
      <c r="FB72" s="158"/>
      <c r="FC72" s="158"/>
      <c r="FD72" s="158"/>
      <c r="FE72" s="158"/>
      <c r="FF72" s="158"/>
      <c r="FG72" s="158"/>
      <c r="FH72" s="158"/>
      <c r="FI72" s="158"/>
      <c r="FJ72" s="158"/>
    </row>
    <row r="73" spans="1:167" s="53" customFormat="1" ht="43.5" customHeight="1" thickBot="1">
      <c r="A73" s="160" t="s">
        <v>90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1"/>
      <c r="AN73" s="162"/>
      <c r="AO73" s="163"/>
      <c r="AP73" s="163"/>
      <c r="AQ73" s="163"/>
      <c r="AR73" s="163"/>
      <c r="AS73" s="164"/>
      <c r="AT73" s="165" t="s">
        <v>184</v>
      </c>
      <c r="AU73" s="166"/>
      <c r="AV73" s="166"/>
      <c r="AW73" s="166"/>
      <c r="AX73" s="166"/>
      <c r="AY73" s="166"/>
      <c r="AZ73" s="166"/>
      <c r="BA73" s="166"/>
      <c r="BB73" s="166"/>
      <c r="BC73" s="166"/>
      <c r="BD73" s="166"/>
      <c r="BE73" s="166"/>
      <c r="BF73" s="166"/>
      <c r="BG73" s="166"/>
      <c r="BH73" s="166"/>
      <c r="BI73" s="166"/>
      <c r="BJ73" s="166"/>
      <c r="BK73" s="166"/>
      <c r="BL73" s="166"/>
      <c r="BM73" s="166"/>
      <c r="BN73" s="166"/>
      <c r="BO73" s="166"/>
      <c r="BP73" s="166"/>
      <c r="BQ73" s="167"/>
      <c r="BR73" s="157">
        <v>0</v>
      </c>
      <c r="BS73" s="158"/>
      <c r="BT73" s="158"/>
      <c r="BU73" s="158"/>
      <c r="BV73" s="158"/>
      <c r="BW73" s="158"/>
      <c r="BX73" s="158"/>
      <c r="BY73" s="158"/>
      <c r="BZ73" s="158"/>
      <c r="CA73" s="158"/>
      <c r="CB73" s="158"/>
      <c r="CC73" s="158"/>
      <c r="CD73" s="158"/>
      <c r="CE73" s="158"/>
      <c r="CF73" s="158"/>
      <c r="CG73" s="158"/>
      <c r="CH73" s="158"/>
      <c r="CI73" s="158"/>
      <c r="CJ73" s="158"/>
      <c r="CK73" s="158"/>
      <c r="CL73" s="159"/>
      <c r="CM73" s="157">
        <v>0</v>
      </c>
      <c r="CN73" s="158"/>
      <c r="CO73" s="158"/>
      <c r="CP73" s="158"/>
      <c r="CQ73" s="158"/>
      <c r="CR73" s="158"/>
      <c r="CS73" s="158"/>
      <c r="CT73" s="158"/>
      <c r="CU73" s="158"/>
      <c r="CV73" s="158"/>
      <c r="CW73" s="158"/>
      <c r="CX73" s="158"/>
      <c r="CY73" s="158"/>
      <c r="CZ73" s="158"/>
      <c r="DA73" s="158"/>
      <c r="DB73" s="159"/>
      <c r="DC73" s="157">
        <v>0</v>
      </c>
      <c r="DD73" s="158"/>
      <c r="DE73" s="158"/>
      <c r="DF73" s="158"/>
      <c r="DG73" s="158"/>
      <c r="DH73" s="158"/>
      <c r="DI73" s="158"/>
      <c r="DJ73" s="158"/>
      <c r="DK73" s="158"/>
      <c r="DL73" s="158"/>
      <c r="DM73" s="158"/>
      <c r="DN73" s="158"/>
      <c r="DO73" s="158"/>
      <c r="DP73" s="158"/>
      <c r="DQ73" s="159"/>
      <c r="DR73" s="157">
        <v>0</v>
      </c>
      <c r="DS73" s="158"/>
      <c r="DT73" s="158"/>
      <c r="DU73" s="158"/>
      <c r="DV73" s="158"/>
      <c r="DW73" s="158"/>
      <c r="DX73" s="158"/>
      <c r="DY73" s="158"/>
      <c r="DZ73" s="158"/>
      <c r="EA73" s="158"/>
      <c r="EB73" s="158"/>
      <c r="EC73" s="158"/>
      <c r="ED73" s="158"/>
      <c r="EE73" s="158"/>
      <c r="EF73" s="159"/>
      <c r="EG73" s="157">
        <f t="shared" si="5"/>
        <v>0</v>
      </c>
      <c r="EH73" s="158"/>
      <c r="EI73" s="158"/>
      <c r="EJ73" s="158"/>
      <c r="EK73" s="158"/>
      <c r="EL73" s="158"/>
      <c r="EM73" s="158"/>
      <c r="EN73" s="158"/>
      <c r="EO73" s="158"/>
      <c r="EP73" s="158"/>
      <c r="EQ73" s="158"/>
      <c r="ER73" s="158"/>
      <c r="ES73" s="158"/>
      <c r="ET73" s="158"/>
      <c r="EU73" s="159"/>
      <c r="EV73" s="157">
        <f t="shared" si="7"/>
        <v>0</v>
      </c>
      <c r="EW73" s="158"/>
      <c r="EX73" s="158"/>
      <c r="EY73" s="158"/>
      <c r="EZ73" s="158"/>
      <c r="FA73" s="158"/>
      <c r="FB73" s="158"/>
      <c r="FC73" s="158"/>
      <c r="FD73" s="158"/>
      <c r="FE73" s="158"/>
      <c r="FF73" s="158"/>
      <c r="FG73" s="158"/>
      <c r="FH73" s="158"/>
      <c r="FI73" s="158"/>
      <c r="FJ73" s="158"/>
    </row>
    <row r="74" spans="1:167" s="47" customFormat="1" ht="12.75" customHeight="1" thickBot="1">
      <c r="A74" s="355" t="s">
        <v>183</v>
      </c>
      <c r="B74" s="356"/>
      <c r="C74" s="356"/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6"/>
      <c r="P74" s="356"/>
      <c r="Q74" s="356"/>
      <c r="R74" s="356"/>
      <c r="S74" s="356"/>
      <c r="T74" s="356"/>
      <c r="U74" s="356"/>
      <c r="V74" s="356"/>
      <c r="W74" s="356"/>
      <c r="X74" s="356"/>
      <c r="Y74" s="356"/>
      <c r="Z74" s="356"/>
      <c r="AA74" s="356"/>
      <c r="AB74" s="356"/>
      <c r="AC74" s="356"/>
      <c r="AD74" s="356"/>
      <c r="AE74" s="356"/>
      <c r="AF74" s="356"/>
      <c r="AG74" s="356"/>
      <c r="AH74" s="356"/>
      <c r="AI74" s="356"/>
      <c r="AJ74" s="356"/>
      <c r="AK74" s="356"/>
      <c r="AL74" s="356"/>
      <c r="AM74" s="356"/>
      <c r="AN74" s="357"/>
      <c r="AO74" s="357"/>
      <c r="AP74" s="357"/>
      <c r="AQ74" s="357"/>
      <c r="AR74" s="357"/>
      <c r="AS74" s="357"/>
      <c r="AT74" s="273" t="s">
        <v>182</v>
      </c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195">
        <f>BR75+BR77+BR81+BR79</f>
        <v>0</v>
      </c>
      <c r="BS74" s="195"/>
      <c r="BT74" s="195"/>
      <c r="BU74" s="195"/>
      <c r="BV74" s="195"/>
      <c r="BW74" s="195"/>
      <c r="BX74" s="195"/>
      <c r="BY74" s="195"/>
      <c r="BZ74" s="195"/>
      <c r="CA74" s="195"/>
      <c r="CB74" s="195"/>
      <c r="CC74" s="195"/>
      <c r="CD74" s="195"/>
      <c r="CE74" s="195"/>
      <c r="CF74" s="195"/>
      <c r="CG74" s="195"/>
      <c r="CH74" s="195"/>
      <c r="CI74" s="195"/>
      <c r="CJ74" s="195"/>
      <c r="CK74" s="195"/>
      <c r="CL74" s="195"/>
      <c r="CM74" s="195">
        <f>CM75+CM77+CM81+CM79</f>
        <v>0</v>
      </c>
      <c r="CN74" s="195"/>
      <c r="CO74" s="195"/>
      <c r="CP74" s="195"/>
      <c r="CQ74" s="195"/>
      <c r="CR74" s="195"/>
      <c r="CS74" s="195"/>
      <c r="CT74" s="195"/>
      <c r="CU74" s="195"/>
      <c r="CV74" s="195"/>
      <c r="CW74" s="195"/>
      <c r="CX74" s="195"/>
      <c r="CY74" s="195"/>
      <c r="CZ74" s="195"/>
      <c r="DA74" s="195"/>
      <c r="DB74" s="195"/>
      <c r="DC74" s="195">
        <v>0</v>
      </c>
      <c r="DD74" s="195"/>
      <c r="DE74" s="195"/>
      <c r="DF74" s="195"/>
      <c r="DG74" s="195"/>
      <c r="DH74" s="195"/>
      <c r="DI74" s="195"/>
      <c r="DJ74" s="195"/>
      <c r="DK74" s="195"/>
      <c r="DL74" s="195"/>
      <c r="DM74" s="195"/>
      <c r="DN74" s="195"/>
      <c r="DO74" s="195"/>
      <c r="DP74" s="195"/>
      <c r="DQ74" s="195"/>
      <c r="DR74" s="195">
        <v>0</v>
      </c>
      <c r="DS74" s="195"/>
      <c r="DT74" s="195"/>
      <c r="DU74" s="195"/>
      <c r="DV74" s="195"/>
      <c r="DW74" s="195"/>
      <c r="DX74" s="195"/>
      <c r="DY74" s="195"/>
      <c r="DZ74" s="195"/>
      <c r="EA74" s="195"/>
      <c r="EB74" s="195"/>
      <c r="EC74" s="195"/>
      <c r="ED74" s="195"/>
      <c r="EE74" s="195"/>
      <c r="EF74" s="195"/>
      <c r="EG74" s="195">
        <f t="shared" si="5"/>
        <v>0</v>
      </c>
      <c r="EH74" s="195"/>
      <c r="EI74" s="195"/>
      <c r="EJ74" s="195"/>
      <c r="EK74" s="195"/>
      <c r="EL74" s="195"/>
      <c r="EM74" s="195"/>
      <c r="EN74" s="195"/>
      <c r="EO74" s="195"/>
      <c r="EP74" s="195"/>
      <c r="EQ74" s="195"/>
      <c r="ER74" s="195"/>
      <c r="ES74" s="195"/>
      <c r="ET74" s="195"/>
      <c r="EU74" s="195"/>
      <c r="EV74" s="188">
        <f t="shared" si="7"/>
        <v>0</v>
      </c>
      <c r="EW74" s="188"/>
      <c r="EX74" s="188"/>
      <c r="EY74" s="188"/>
      <c r="EZ74" s="188"/>
      <c r="FA74" s="188"/>
      <c r="FB74" s="188"/>
      <c r="FC74" s="188"/>
      <c r="FD74" s="188"/>
      <c r="FE74" s="188"/>
      <c r="FF74" s="188"/>
      <c r="FG74" s="188"/>
      <c r="FH74" s="188"/>
      <c r="FI74" s="188"/>
      <c r="FJ74" s="189"/>
    </row>
    <row r="75" spans="1:167" s="47" customFormat="1" ht="26.25" customHeight="1">
      <c r="A75" s="358" t="s">
        <v>181</v>
      </c>
      <c r="B75" s="358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  <c r="AI75" s="358"/>
      <c r="AJ75" s="358"/>
      <c r="AK75" s="358"/>
      <c r="AL75" s="358"/>
      <c r="AM75" s="358"/>
      <c r="AN75" s="359"/>
      <c r="AO75" s="359"/>
      <c r="AP75" s="359"/>
      <c r="AQ75" s="359"/>
      <c r="AR75" s="359"/>
      <c r="AS75" s="359"/>
      <c r="AT75" s="230" t="s">
        <v>180</v>
      </c>
      <c r="AU75" s="230"/>
      <c r="AV75" s="230"/>
      <c r="AW75" s="230"/>
      <c r="AX75" s="230"/>
      <c r="AY75" s="230"/>
      <c r="AZ75" s="230"/>
      <c r="BA75" s="230"/>
      <c r="BB75" s="230"/>
      <c r="BC75" s="230"/>
      <c r="BD75" s="230"/>
      <c r="BE75" s="230"/>
      <c r="BF75" s="230"/>
      <c r="BG75" s="230"/>
      <c r="BH75" s="230"/>
      <c r="BI75" s="230"/>
      <c r="BJ75" s="230"/>
      <c r="BK75" s="230"/>
      <c r="BL75" s="230"/>
      <c r="BM75" s="230"/>
      <c r="BN75" s="230"/>
      <c r="BO75" s="230"/>
      <c r="BP75" s="230"/>
      <c r="BQ75" s="230"/>
      <c r="BR75" s="223">
        <v>0</v>
      </c>
      <c r="BS75" s="223"/>
      <c r="BT75" s="223"/>
      <c r="BU75" s="223"/>
      <c r="BV75" s="223"/>
      <c r="BW75" s="223"/>
      <c r="BX75" s="223"/>
      <c r="BY75" s="223"/>
      <c r="BZ75" s="223"/>
      <c r="CA75" s="223"/>
      <c r="CB75" s="223"/>
      <c r="CC75" s="223"/>
      <c r="CD75" s="223"/>
      <c r="CE75" s="223"/>
      <c r="CF75" s="223"/>
      <c r="CG75" s="223"/>
      <c r="CH75" s="223"/>
      <c r="CI75" s="223"/>
      <c r="CJ75" s="223"/>
      <c r="CK75" s="223"/>
      <c r="CL75" s="223"/>
      <c r="CM75" s="223">
        <v>0</v>
      </c>
      <c r="CN75" s="223"/>
      <c r="CO75" s="223"/>
      <c r="CP75" s="223"/>
      <c r="CQ75" s="223"/>
      <c r="CR75" s="223"/>
      <c r="CS75" s="223"/>
      <c r="CT75" s="223"/>
      <c r="CU75" s="223"/>
      <c r="CV75" s="223"/>
      <c r="CW75" s="223"/>
      <c r="CX75" s="223"/>
      <c r="CY75" s="223"/>
      <c r="CZ75" s="223"/>
      <c r="DA75" s="223"/>
      <c r="DB75" s="223"/>
      <c r="DC75" s="202">
        <v>0</v>
      </c>
      <c r="DD75" s="202"/>
      <c r="DE75" s="202"/>
      <c r="DF75" s="202"/>
      <c r="DG75" s="202"/>
      <c r="DH75" s="202"/>
      <c r="DI75" s="202"/>
      <c r="DJ75" s="202"/>
      <c r="DK75" s="202"/>
      <c r="DL75" s="202"/>
      <c r="DM75" s="202"/>
      <c r="DN75" s="202"/>
      <c r="DO75" s="202"/>
      <c r="DP75" s="202"/>
      <c r="DQ75" s="202"/>
      <c r="DR75" s="202">
        <v>0</v>
      </c>
      <c r="DS75" s="202"/>
      <c r="DT75" s="202"/>
      <c r="DU75" s="202"/>
      <c r="DV75" s="202"/>
      <c r="DW75" s="202"/>
      <c r="DX75" s="202"/>
      <c r="DY75" s="202"/>
      <c r="DZ75" s="202"/>
      <c r="EA75" s="202"/>
      <c r="EB75" s="202"/>
      <c r="EC75" s="202"/>
      <c r="ED75" s="202"/>
      <c r="EE75" s="202"/>
      <c r="EF75" s="202"/>
      <c r="EG75" s="223">
        <f t="shared" si="5"/>
        <v>0</v>
      </c>
      <c r="EH75" s="223"/>
      <c r="EI75" s="223"/>
      <c r="EJ75" s="223"/>
      <c r="EK75" s="223"/>
      <c r="EL75" s="223"/>
      <c r="EM75" s="223"/>
      <c r="EN75" s="223"/>
      <c r="EO75" s="223"/>
      <c r="EP75" s="223"/>
      <c r="EQ75" s="223"/>
      <c r="ER75" s="223"/>
      <c r="ES75" s="223"/>
      <c r="ET75" s="223"/>
      <c r="EU75" s="223"/>
      <c r="EV75" s="425">
        <f t="shared" si="7"/>
        <v>0</v>
      </c>
      <c r="EW75" s="425"/>
      <c r="EX75" s="425"/>
      <c r="EY75" s="425"/>
      <c r="EZ75" s="425"/>
      <c r="FA75" s="425"/>
      <c r="FB75" s="425"/>
      <c r="FC75" s="425"/>
      <c r="FD75" s="425"/>
      <c r="FE75" s="425"/>
      <c r="FF75" s="425"/>
      <c r="FG75" s="425"/>
      <c r="FH75" s="425"/>
      <c r="FI75" s="425"/>
      <c r="FJ75" s="425"/>
    </row>
    <row r="76" spans="1:167" s="47" customFormat="1" ht="64.5" customHeight="1">
      <c r="A76" s="221" t="s">
        <v>179</v>
      </c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2"/>
      <c r="AO76" s="222"/>
      <c r="AP76" s="222"/>
      <c r="AQ76" s="222"/>
      <c r="AR76" s="222"/>
      <c r="AS76" s="222"/>
      <c r="AT76" s="190" t="s">
        <v>178</v>
      </c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191">
        <v>0</v>
      </c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>
        <v>0</v>
      </c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>
        <v>0</v>
      </c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>
        <v>0</v>
      </c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>
        <f t="shared" si="5"/>
        <v>0</v>
      </c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220">
        <f t="shared" si="7"/>
        <v>0</v>
      </c>
      <c r="EW76" s="220"/>
      <c r="EX76" s="220"/>
      <c r="EY76" s="220"/>
      <c r="EZ76" s="220"/>
      <c r="FA76" s="220"/>
      <c r="FB76" s="220"/>
      <c r="FC76" s="220"/>
      <c r="FD76" s="220"/>
      <c r="FE76" s="220"/>
      <c r="FF76" s="220"/>
      <c r="FG76" s="220"/>
      <c r="FH76" s="220"/>
      <c r="FI76" s="220"/>
      <c r="FJ76" s="220"/>
    </row>
    <row r="77" spans="1:167" s="47" customFormat="1" ht="30" customHeight="1">
      <c r="A77" s="221" t="s">
        <v>177</v>
      </c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2"/>
      <c r="AO77" s="222"/>
      <c r="AP77" s="222"/>
      <c r="AQ77" s="222"/>
      <c r="AR77" s="222"/>
      <c r="AS77" s="222"/>
      <c r="AT77" s="190" t="s">
        <v>176</v>
      </c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1">
        <v>0</v>
      </c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  <c r="CE77" s="191"/>
      <c r="CF77" s="191"/>
      <c r="CG77" s="191"/>
      <c r="CH77" s="191"/>
      <c r="CI77" s="191"/>
      <c r="CJ77" s="191"/>
      <c r="CK77" s="191"/>
      <c r="CL77" s="191"/>
      <c r="CM77" s="191">
        <v>0</v>
      </c>
      <c r="CN77" s="191"/>
      <c r="CO77" s="191"/>
      <c r="CP77" s="191"/>
      <c r="CQ77" s="191"/>
      <c r="CR77" s="191"/>
      <c r="CS77" s="191"/>
      <c r="CT77" s="191"/>
      <c r="CU77" s="191"/>
      <c r="CV77" s="191"/>
      <c r="CW77" s="191"/>
      <c r="CX77" s="191"/>
      <c r="CY77" s="191"/>
      <c r="CZ77" s="191"/>
      <c r="DA77" s="191"/>
      <c r="DB77" s="191"/>
      <c r="DC77" s="191">
        <v>0</v>
      </c>
      <c r="DD77" s="191"/>
      <c r="DE77" s="191"/>
      <c r="DF77" s="191"/>
      <c r="DG77" s="191"/>
      <c r="DH77" s="191"/>
      <c r="DI77" s="191"/>
      <c r="DJ77" s="191"/>
      <c r="DK77" s="191"/>
      <c r="DL77" s="191"/>
      <c r="DM77" s="191"/>
      <c r="DN77" s="191"/>
      <c r="DO77" s="191"/>
      <c r="DP77" s="191"/>
      <c r="DQ77" s="191"/>
      <c r="DR77" s="191">
        <v>0</v>
      </c>
      <c r="DS77" s="191"/>
      <c r="DT77" s="191"/>
      <c r="DU77" s="191"/>
      <c r="DV77" s="191"/>
      <c r="DW77" s="191"/>
      <c r="DX77" s="191"/>
      <c r="DY77" s="191"/>
      <c r="DZ77" s="191"/>
      <c r="EA77" s="191"/>
      <c r="EB77" s="191"/>
      <c r="EC77" s="191"/>
      <c r="ED77" s="191"/>
      <c r="EE77" s="191"/>
      <c r="EF77" s="191"/>
      <c r="EG77" s="191">
        <f t="shared" si="5"/>
        <v>0</v>
      </c>
      <c r="EH77" s="191"/>
      <c r="EI77" s="191"/>
      <c r="EJ77" s="191"/>
      <c r="EK77" s="191"/>
      <c r="EL77" s="191"/>
      <c r="EM77" s="191"/>
      <c r="EN77" s="191"/>
      <c r="EO77" s="191"/>
      <c r="EP77" s="191"/>
      <c r="EQ77" s="191"/>
      <c r="ER77" s="191"/>
      <c r="ES77" s="191"/>
      <c r="ET77" s="191"/>
      <c r="EU77" s="191"/>
      <c r="EV77" s="220">
        <f t="shared" si="7"/>
        <v>0</v>
      </c>
      <c r="EW77" s="220"/>
      <c r="EX77" s="220"/>
      <c r="EY77" s="220"/>
      <c r="EZ77" s="220"/>
      <c r="FA77" s="220"/>
      <c r="FB77" s="220"/>
      <c r="FC77" s="220"/>
      <c r="FD77" s="220"/>
      <c r="FE77" s="220"/>
      <c r="FF77" s="220"/>
      <c r="FG77" s="220"/>
      <c r="FH77" s="220"/>
      <c r="FI77" s="220"/>
      <c r="FJ77" s="220"/>
    </row>
    <row r="78" spans="1:167" s="47" customFormat="1" ht="151.5" customHeight="1">
      <c r="A78" s="221" t="s">
        <v>175</v>
      </c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2"/>
      <c r="AO78" s="222"/>
      <c r="AP78" s="222"/>
      <c r="AQ78" s="222"/>
      <c r="AR78" s="222"/>
      <c r="AS78" s="222"/>
      <c r="AT78" s="190" t="s">
        <v>174</v>
      </c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1">
        <v>0</v>
      </c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  <c r="CE78" s="191"/>
      <c r="CF78" s="191"/>
      <c r="CG78" s="191"/>
      <c r="CH78" s="191"/>
      <c r="CI78" s="191"/>
      <c r="CJ78" s="191"/>
      <c r="CK78" s="191"/>
      <c r="CL78" s="191"/>
      <c r="CM78" s="191">
        <v>0</v>
      </c>
      <c r="CN78" s="191"/>
      <c r="CO78" s="191"/>
      <c r="CP78" s="191"/>
      <c r="CQ78" s="191"/>
      <c r="CR78" s="191"/>
      <c r="CS78" s="191"/>
      <c r="CT78" s="191"/>
      <c r="CU78" s="191"/>
      <c r="CV78" s="191"/>
      <c r="CW78" s="191"/>
      <c r="CX78" s="191"/>
      <c r="CY78" s="191"/>
      <c r="CZ78" s="191"/>
      <c r="DA78" s="191"/>
      <c r="DB78" s="191"/>
      <c r="DC78" s="191">
        <v>0</v>
      </c>
      <c r="DD78" s="191"/>
      <c r="DE78" s="191"/>
      <c r="DF78" s="191"/>
      <c r="DG78" s="191"/>
      <c r="DH78" s="191"/>
      <c r="DI78" s="191"/>
      <c r="DJ78" s="191"/>
      <c r="DK78" s="191"/>
      <c r="DL78" s="191"/>
      <c r="DM78" s="191"/>
      <c r="DN78" s="191"/>
      <c r="DO78" s="191"/>
      <c r="DP78" s="191"/>
      <c r="DQ78" s="191"/>
      <c r="DR78" s="191">
        <v>0</v>
      </c>
      <c r="DS78" s="191"/>
      <c r="DT78" s="191"/>
      <c r="DU78" s="191"/>
      <c r="DV78" s="191"/>
      <c r="DW78" s="191"/>
      <c r="DX78" s="191"/>
      <c r="DY78" s="191"/>
      <c r="DZ78" s="191"/>
      <c r="EA78" s="191"/>
      <c r="EB78" s="191"/>
      <c r="EC78" s="191"/>
      <c r="ED78" s="191"/>
      <c r="EE78" s="191"/>
      <c r="EF78" s="191"/>
      <c r="EG78" s="191">
        <f t="shared" si="5"/>
        <v>0</v>
      </c>
      <c r="EH78" s="191"/>
      <c r="EI78" s="191"/>
      <c r="EJ78" s="191"/>
      <c r="EK78" s="191"/>
      <c r="EL78" s="191"/>
      <c r="EM78" s="191"/>
      <c r="EN78" s="191"/>
      <c r="EO78" s="191"/>
      <c r="EP78" s="191"/>
      <c r="EQ78" s="191"/>
      <c r="ER78" s="191"/>
      <c r="ES78" s="191"/>
      <c r="ET78" s="191"/>
      <c r="EU78" s="191"/>
      <c r="EV78" s="220">
        <f t="shared" si="7"/>
        <v>0</v>
      </c>
      <c r="EW78" s="220"/>
      <c r="EX78" s="220"/>
      <c r="EY78" s="220"/>
      <c r="EZ78" s="220"/>
      <c r="FA78" s="220"/>
      <c r="FB78" s="220"/>
      <c r="FC78" s="220"/>
      <c r="FD78" s="220"/>
      <c r="FE78" s="220"/>
      <c r="FF78" s="220"/>
      <c r="FG78" s="220"/>
      <c r="FH78" s="220"/>
      <c r="FI78" s="220"/>
      <c r="FJ78" s="220"/>
    </row>
    <row r="79" spans="1:167" s="47" customFormat="1" ht="75.75" customHeight="1">
      <c r="A79" s="221" t="s">
        <v>25</v>
      </c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2"/>
      <c r="AO79" s="222"/>
      <c r="AP79" s="222"/>
      <c r="AQ79" s="222"/>
      <c r="AR79" s="222"/>
      <c r="AS79" s="222"/>
      <c r="AT79" s="190" t="s">
        <v>173</v>
      </c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0"/>
      <c r="BN79" s="190"/>
      <c r="BO79" s="190"/>
      <c r="BP79" s="190"/>
      <c r="BQ79" s="190"/>
      <c r="BR79" s="191">
        <f>BR80</f>
        <v>0</v>
      </c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1"/>
      <c r="CH79" s="191"/>
      <c r="CI79" s="191"/>
      <c r="CJ79" s="191"/>
      <c r="CK79" s="191"/>
      <c r="CL79" s="191"/>
      <c r="CM79" s="191">
        <v>0</v>
      </c>
      <c r="CN79" s="191"/>
      <c r="CO79" s="191"/>
      <c r="CP79" s="191"/>
      <c r="CQ79" s="191"/>
      <c r="CR79" s="191"/>
      <c r="CS79" s="191"/>
      <c r="CT79" s="191"/>
      <c r="CU79" s="191"/>
      <c r="CV79" s="191"/>
      <c r="CW79" s="191"/>
      <c r="CX79" s="191"/>
      <c r="CY79" s="191"/>
      <c r="CZ79" s="191"/>
      <c r="DA79" s="191"/>
      <c r="DB79" s="191"/>
      <c r="DC79" s="191">
        <v>0</v>
      </c>
      <c r="DD79" s="191"/>
      <c r="DE79" s="191"/>
      <c r="DF79" s="191"/>
      <c r="DG79" s="191"/>
      <c r="DH79" s="191"/>
      <c r="DI79" s="191"/>
      <c r="DJ79" s="191"/>
      <c r="DK79" s="191"/>
      <c r="DL79" s="191"/>
      <c r="DM79" s="191"/>
      <c r="DN79" s="191"/>
      <c r="DO79" s="191"/>
      <c r="DP79" s="191"/>
      <c r="DQ79" s="191"/>
      <c r="DR79" s="191">
        <v>0</v>
      </c>
      <c r="DS79" s="191"/>
      <c r="DT79" s="191"/>
      <c r="DU79" s="191"/>
      <c r="DV79" s="191"/>
      <c r="DW79" s="191"/>
      <c r="DX79" s="191"/>
      <c r="DY79" s="191"/>
      <c r="DZ79" s="191"/>
      <c r="EA79" s="191"/>
      <c r="EB79" s="191"/>
      <c r="EC79" s="191"/>
      <c r="ED79" s="191"/>
      <c r="EE79" s="191"/>
      <c r="EF79" s="191"/>
      <c r="EG79" s="191">
        <f t="shared" si="5"/>
        <v>0</v>
      </c>
      <c r="EH79" s="191"/>
      <c r="EI79" s="191"/>
      <c r="EJ79" s="191"/>
      <c r="EK79" s="191"/>
      <c r="EL79" s="191"/>
      <c r="EM79" s="191"/>
      <c r="EN79" s="191"/>
      <c r="EO79" s="191"/>
      <c r="EP79" s="191"/>
      <c r="EQ79" s="191"/>
      <c r="ER79" s="191"/>
      <c r="ES79" s="191"/>
      <c r="ET79" s="191"/>
      <c r="EU79" s="191"/>
      <c r="EV79" s="220">
        <f t="shared" si="7"/>
        <v>0</v>
      </c>
      <c r="EW79" s="220"/>
      <c r="EX79" s="220"/>
      <c r="EY79" s="220"/>
      <c r="EZ79" s="220"/>
      <c r="FA79" s="220"/>
      <c r="FB79" s="220"/>
      <c r="FC79" s="220"/>
      <c r="FD79" s="220"/>
      <c r="FE79" s="220"/>
      <c r="FF79" s="220"/>
      <c r="FG79" s="220"/>
      <c r="FH79" s="220"/>
      <c r="FI79" s="220"/>
      <c r="FJ79" s="220"/>
    </row>
    <row r="80" spans="1:167" s="47" customFormat="1" ht="75.75" customHeight="1">
      <c r="A80" s="221" t="s">
        <v>25</v>
      </c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2"/>
      <c r="AO80" s="222"/>
      <c r="AP80" s="222"/>
      <c r="AQ80" s="222"/>
      <c r="AR80" s="222"/>
      <c r="AS80" s="222"/>
      <c r="AT80" s="190" t="s">
        <v>172</v>
      </c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1">
        <v>0</v>
      </c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  <c r="CE80" s="191"/>
      <c r="CF80" s="191"/>
      <c r="CG80" s="191"/>
      <c r="CH80" s="191"/>
      <c r="CI80" s="191"/>
      <c r="CJ80" s="191"/>
      <c r="CK80" s="191"/>
      <c r="CL80" s="191"/>
      <c r="CM80" s="191">
        <v>0</v>
      </c>
      <c r="CN80" s="191"/>
      <c r="CO80" s="191"/>
      <c r="CP80" s="191"/>
      <c r="CQ80" s="191"/>
      <c r="CR80" s="191"/>
      <c r="CS80" s="191"/>
      <c r="CT80" s="191"/>
      <c r="CU80" s="191"/>
      <c r="CV80" s="191"/>
      <c r="CW80" s="191"/>
      <c r="CX80" s="191"/>
      <c r="CY80" s="191"/>
      <c r="CZ80" s="191"/>
      <c r="DA80" s="191"/>
      <c r="DB80" s="191"/>
      <c r="DC80" s="191">
        <v>0</v>
      </c>
      <c r="DD80" s="191"/>
      <c r="DE80" s="191"/>
      <c r="DF80" s="191"/>
      <c r="DG80" s="191"/>
      <c r="DH80" s="191"/>
      <c r="DI80" s="191"/>
      <c r="DJ80" s="191"/>
      <c r="DK80" s="191"/>
      <c r="DL80" s="191"/>
      <c r="DM80" s="191"/>
      <c r="DN80" s="191"/>
      <c r="DO80" s="191"/>
      <c r="DP80" s="191"/>
      <c r="DQ80" s="191"/>
      <c r="DR80" s="191">
        <v>0</v>
      </c>
      <c r="DS80" s="191"/>
      <c r="DT80" s="191"/>
      <c r="DU80" s="191"/>
      <c r="DV80" s="191"/>
      <c r="DW80" s="191"/>
      <c r="DX80" s="191"/>
      <c r="DY80" s="191"/>
      <c r="DZ80" s="191"/>
      <c r="EA80" s="191"/>
      <c r="EB80" s="191"/>
      <c r="EC80" s="191"/>
      <c r="ED80" s="191"/>
      <c r="EE80" s="191"/>
      <c r="EF80" s="191"/>
      <c r="EG80" s="191">
        <f t="shared" si="5"/>
        <v>0</v>
      </c>
      <c r="EH80" s="191"/>
      <c r="EI80" s="191"/>
      <c r="EJ80" s="191"/>
      <c r="EK80" s="191"/>
      <c r="EL80" s="191"/>
      <c r="EM80" s="191"/>
      <c r="EN80" s="191"/>
      <c r="EO80" s="191"/>
      <c r="EP80" s="191"/>
      <c r="EQ80" s="191"/>
      <c r="ER80" s="191"/>
      <c r="ES80" s="191"/>
      <c r="ET80" s="191"/>
      <c r="EU80" s="191"/>
      <c r="EV80" s="220">
        <f t="shared" si="7"/>
        <v>0</v>
      </c>
      <c r="EW80" s="220"/>
      <c r="EX80" s="220"/>
      <c r="EY80" s="220"/>
      <c r="EZ80" s="220"/>
      <c r="FA80" s="220"/>
      <c r="FB80" s="220"/>
      <c r="FC80" s="220"/>
      <c r="FD80" s="220"/>
      <c r="FE80" s="220"/>
      <c r="FF80" s="220"/>
      <c r="FG80" s="220"/>
      <c r="FH80" s="220"/>
      <c r="FI80" s="220"/>
      <c r="FJ80" s="220"/>
    </row>
    <row r="81" spans="1:189" s="47" customFormat="1" ht="66" customHeight="1">
      <c r="A81" s="221" t="s">
        <v>171</v>
      </c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2"/>
      <c r="AO81" s="222"/>
      <c r="AP81" s="222"/>
      <c r="AQ81" s="222"/>
      <c r="AR81" s="222"/>
      <c r="AS81" s="222"/>
      <c r="AT81" s="190" t="s">
        <v>170</v>
      </c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1">
        <f>BR82</f>
        <v>0</v>
      </c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  <c r="CD81" s="191"/>
      <c r="CE81" s="191"/>
      <c r="CF81" s="191"/>
      <c r="CG81" s="191"/>
      <c r="CH81" s="191"/>
      <c r="CI81" s="191"/>
      <c r="CJ81" s="191"/>
      <c r="CK81" s="191"/>
      <c r="CL81" s="191"/>
      <c r="CM81" s="191">
        <v>0</v>
      </c>
      <c r="CN81" s="191"/>
      <c r="CO81" s="191"/>
      <c r="CP81" s="191"/>
      <c r="CQ81" s="191"/>
      <c r="CR81" s="191"/>
      <c r="CS81" s="191"/>
      <c r="CT81" s="191"/>
      <c r="CU81" s="191"/>
      <c r="CV81" s="191"/>
      <c r="CW81" s="191"/>
      <c r="CX81" s="191"/>
      <c r="CY81" s="191"/>
      <c r="CZ81" s="191"/>
      <c r="DA81" s="191"/>
      <c r="DB81" s="191"/>
      <c r="DC81" s="191">
        <v>0</v>
      </c>
      <c r="DD81" s="191"/>
      <c r="DE81" s="191"/>
      <c r="DF81" s="191"/>
      <c r="DG81" s="191"/>
      <c r="DH81" s="191"/>
      <c r="DI81" s="191"/>
      <c r="DJ81" s="191"/>
      <c r="DK81" s="191"/>
      <c r="DL81" s="191"/>
      <c r="DM81" s="191"/>
      <c r="DN81" s="191"/>
      <c r="DO81" s="191"/>
      <c r="DP81" s="191"/>
      <c r="DQ81" s="191"/>
      <c r="DR81" s="191">
        <v>0</v>
      </c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  <c r="EG81" s="191">
        <f t="shared" si="5"/>
        <v>0</v>
      </c>
      <c r="EH81" s="191"/>
      <c r="EI81" s="191"/>
      <c r="EJ81" s="191"/>
      <c r="EK81" s="191"/>
      <c r="EL81" s="191"/>
      <c r="EM81" s="191"/>
      <c r="EN81" s="191"/>
      <c r="EO81" s="191"/>
      <c r="EP81" s="191"/>
      <c r="EQ81" s="191"/>
      <c r="ER81" s="191"/>
      <c r="ES81" s="191"/>
      <c r="ET81" s="191"/>
      <c r="EU81" s="191"/>
      <c r="EV81" s="220">
        <f t="shared" si="7"/>
        <v>0</v>
      </c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</row>
    <row r="82" spans="1:189" s="47" customFormat="1" ht="27" customHeight="1">
      <c r="A82" s="221" t="s">
        <v>169</v>
      </c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2"/>
      <c r="AO82" s="222"/>
      <c r="AP82" s="222"/>
      <c r="AQ82" s="222"/>
      <c r="AR82" s="222"/>
      <c r="AS82" s="222"/>
      <c r="AT82" s="190" t="s">
        <v>168</v>
      </c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191">
        <v>0</v>
      </c>
      <c r="BS82" s="191"/>
      <c r="BT82" s="191"/>
      <c r="BU82" s="191"/>
      <c r="BV82" s="191"/>
      <c r="BW82" s="191"/>
      <c r="BX82" s="191"/>
      <c r="BY82" s="191"/>
      <c r="BZ82" s="191"/>
      <c r="CA82" s="191"/>
      <c r="CB82" s="191"/>
      <c r="CC82" s="191"/>
      <c r="CD82" s="191"/>
      <c r="CE82" s="191"/>
      <c r="CF82" s="191"/>
      <c r="CG82" s="191"/>
      <c r="CH82" s="191"/>
      <c r="CI82" s="191"/>
      <c r="CJ82" s="191"/>
      <c r="CK82" s="191"/>
      <c r="CL82" s="191"/>
      <c r="CM82" s="191">
        <v>0</v>
      </c>
      <c r="CN82" s="191"/>
      <c r="CO82" s="191"/>
      <c r="CP82" s="191"/>
      <c r="CQ82" s="191"/>
      <c r="CR82" s="191"/>
      <c r="CS82" s="191"/>
      <c r="CT82" s="191"/>
      <c r="CU82" s="191"/>
      <c r="CV82" s="191"/>
      <c r="CW82" s="191"/>
      <c r="CX82" s="191"/>
      <c r="CY82" s="191"/>
      <c r="CZ82" s="191"/>
      <c r="DA82" s="191"/>
      <c r="DB82" s="191"/>
      <c r="DC82" s="191">
        <v>0</v>
      </c>
      <c r="DD82" s="191"/>
      <c r="DE82" s="191"/>
      <c r="DF82" s="191"/>
      <c r="DG82" s="191"/>
      <c r="DH82" s="191"/>
      <c r="DI82" s="191"/>
      <c r="DJ82" s="191"/>
      <c r="DK82" s="191"/>
      <c r="DL82" s="191"/>
      <c r="DM82" s="191"/>
      <c r="DN82" s="191"/>
      <c r="DO82" s="191"/>
      <c r="DP82" s="191"/>
      <c r="DQ82" s="191"/>
      <c r="DR82" s="191">
        <v>0</v>
      </c>
      <c r="DS82" s="191"/>
      <c r="DT82" s="191"/>
      <c r="DU82" s="191"/>
      <c r="DV82" s="191"/>
      <c r="DW82" s="191"/>
      <c r="DX82" s="191"/>
      <c r="DY82" s="191"/>
      <c r="DZ82" s="191"/>
      <c r="EA82" s="191"/>
      <c r="EB82" s="191"/>
      <c r="EC82" s="191"/>
      <c r="ED82" s="191"/>
      <c r="EE82" s="191"/>
      <c r="EF82" s="191"/>
      <c r="EG82" s="191">
        <f t="shared" si="5"/>
        <v>0</v>
      </c>
      <c r="EH82" s="191"/>
      <c r="EI82" s="191"/>
      <c r="EJ82" s="191"/>
      <c r="EK82" s="191"/>
      <c r="EL82" s="191"/>
      <c r="EM82" s="191"/>
      <c r="EN82" s="191"/>
      <c r="EO82" s="191"/>
      <c r="EP82" s="191"/>
      <c r="EQ82" s="191"/>
      <c r="ER82" s="191"/>
      <c r="ES82" s="191"/>
      <c r="ET82" s="191"/>
      <c r="EU82" s="191"/>
      <c r="EV82" s="220">
        <f t="shared" si="7"/>
        <v>0</v>
      </c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</row>
    <row r="83" spans="1:189" s="47" customFormat="1" ht="19.5" customHeight="1">
      <c r="A83" s="360" t="s">
        <v>167</v>
      </c>
      <c r="B83" s="360"/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360"/>
      <c r="Q83" s="360"/>
      <c r="R83" s="360"/>
      <c r="S83" s="360"/>
      <c r="T83" s="360"/>
      <c r="U83" s="360"/>
      <c r="V83" s="360"/>
      <c r="W83" s="360"/>
      <c r="X83" s="360"/>
      <c r="Y83" s="360"/>
      <c r="Z83" s="360"/>
      <c r="AA83" s="360"/>
      <c r="AB83" s="360"/>
      <c r="AC83" s="360"/>
      <c r="AD83" s="360"/>
      <c r="AE83" s="360"/>
      <c r="AF83" s="360"/>
      <c r="AG83" s="360"/>
      <c r="AH83" s="360"/>
      <c r="AI83" s="360"/>
      <c r="AJ83" s="360"/>
      <c r="AK83" s="360"/>
      <c r="AL83" s="360"/>
      <c r="AM83" s="360"/>
      <c r="AN83" s="222"/>
      <c r="AO83" s="222"/>
      <c r="AP83" s="222"/>
      <c r="AQ83" s="222"/>
      <c r="AR83" s="222"/>
      <c r="AS83" s="222"/>
      <c r="AT83" s="362" t="s">
        <v>166</v>
      </c>
      <c r="AU83" s="362"/>
      <c r="AV83" s="362"/>
      <c r="AW83" s="362"/>
      <c r="AX83" s="362"/>
      <c r="AY83" s="362"/>
      <c r="AZ83" s="362"/>
      <c r="BA83" s="362"/>
      <c r="BB83" s="362"/>
      <c r="BC83" s="362"/>
      <c r="BD83" s="362"/>
      <c r="BE83" s="362"/>
      <c r="BF83" s="362"/>
      <c r="BG83" s="362"/>
      <c r="BH83" s="362"/>
      <c r="BI83" s="362"/>
      <c r="BJ83" s="362"/>
      <c r="BK83" s="362"/>
      <c r="BL83" s="362"/>
      <c r="BM83" s="362"/>
      <c r="BN83" s="362"/>
      <c r="BO83" s="362"/>
      <c r="BP83" s="362"/>
      <c r="BQ83" s="362"/>
      <c r="BR83" s="361">
        <v>0</v>
      </c>
      <c r="BS83" s="361"/>
      <c r="BT83" s="361"/>
      <c r="BU83" s="361"/>
      <c r="BV83" s="361"/>
      <c r="BW83" s="361"/>
      <c r="BX83" s="361"/>
      <c r="BY83" s="361"/>
      <c r="BZ83" s="361"/>
      <c r="CA83" s="361"/>
      <c r="CB83" s="361"/>
      <c r="CC83" s="361"/>
      <c r="CD83" s="361"/>
      <c r="CE83" s="361"/>
      <c r="CF83" s="361"/>
      <c r="CG83" s="361"/>
      <c r="CH83" s="361"/>
      <c r="CI83" s="361"/>
      <c r="CJ83" s="361"/>
      <c r="CK83" s="361"/>
      <c r="CL83" s="361"/>
      <c r="CM83" s="361">
        <f>CM84+CM85</f>
        <v>0</v>
      </c>
      <c r="CN83" s="361"/>
      <c r="CO83" s="361"/>
      <c r="CP83" s="361"/>
      <c r="CQ83" s="361"/>
      <c r="CR83" s="361"/>
      <c r="CS83" s="361"/>
      <c r="CT83" s="361"/>
      <c r="CU83" s="361"/>
      <c r="CV83" s="361"/>
      <c r="CW83" s="361"/>
      <c r="CX83" s="361"/>
      <c r="CY83" s="361"/>
      <c r="CZ83" s="361"/>
      <c r="DA83" s="361"/>
      <c r="DB83" s="361"/>
      <c r="DC83" s="361">
        <v>0</v>
      </c>
      <c r="DD83" s="361"/>
      <c r="DE83" s="361"/>
      <c r="DF83" s="361"/>
      <c r="DG83" s="361"/>
      <c r="DH83" s="361"/>
      <c r="DI83" s="361"/>
      <c r="DJ83" s="361"/>
      <c r="DK83" s="361"/>
      <c r="DL83" s="361"/>
      <c r="DM83" s="361"/>
      <c r="DN83" s="361"/>
      <c r="DO83" s="361"/>
      <c r="DP83" s="361"/>
      <c r="DQ83" s="361"/>
      <c r="DR83" s="361">
        <v>0</v>
      </c>
      <c r="DS83" s="361"/>
      <c r="DT83" s="361"/>
      <c r="DU83" s="361"/>
      <c r="DV83" s="361"/>
      <c r="DW83" s="361"/>
      <c r="DX83" s="361"/>
      <c r="DY83" s="361"/>
      <c r="DZ83" s="361"/>
      <c r="EA83" s="361"/>
      <c r="EB83" s="361"/>
      <c r="EC83" s="361"/>
      <c r="ED83" s="361"/>
      <c r="EE83" s="361"/>
      <c r="EF83" s="361"/>
      <c r="EG83" s="361">
        <f t="shared" si="5"/>
        <v>0</v>
      </c>
      <c r="EH83" s="361"/>
      <c r="EI83" s="361"/>
      <c r="EJ83" s="361"/>
      <c r="EK83" s="361"/>
      <c r="EL83" s="361"/>
      <c r="EM83" s="361"/>
      <c r="EN83" s="361"/>
      <c r="EO83" s="361"/>
      <c r="EP83" s="361"/>
      <c r="EQ83" s="361"/>
      <c r="ER83" s="361"/>
      <c r="ES83" s="361"/>
      <c r="ET83" s="361"/>
      <c r="EU83" s="361"/>
      <c r="EV83" s="416">
        <f t="shared" si="7"/>
        <v>0</v>
      </c>
      <c r="EW83" s="416"/>
      <c r="EX83" s="416"/>
      <c r="EY83" s="416"/>
      <c r="EZ83" s="416"/>
      <c r="FA83" s="416"/>
      <c r="FB83" s="416"/>
      <c r="FC83" s="416"/>
      <c r="FD83" s="416"/>
      <c r="FE83" s="416"/>
      <c r="FF83" s="416"/>
      <c r="FG83" s="416"/>
      <c r="FH83" s="416"/>
      <c r="FI83" s="416"/>
      <c r="FJ83" s="416"/>
    </row>
    <row r="84" spans="1:189" s="47" customFormat="1" ht="26.25" customHeight="1">
      <c r="A84" s="221" t="s">
        <v>165</v>
      </c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2"/>
      <c r="AO84" s="222"/>
      <c r="AP84" s="222"/>
      <c r="AQ84" s="222"/>
      <c r="AR84" s="222"/>
      <c r="AS84" s="222"/>
      <c r="AT84" s="190" t="s">
        <v>164</v>
      </c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90"/>
      <c r="BL84" s="190"/>
      <c r="BM84" s="190"/>
      <c r="BN84" s="190"/>
      <c r="BO84" s="190"/>
      <c r="BP84" s="190"/>
      <c r="BQ84" s="190"/>
      <c r="BR84" s="191">
        <v>0</v>
      </c>
      <c r="BS84" s="191"/>
      <c r="BT84" s="191"/>
      <c r="BU84" s="191"/>
      <c r="BV84" s="191"/>
      <c r="BW84" s="191"/>
      <c r="BX84" s="191"/>
      <c r="BY84" s="191"/>
      <c r="BZ84" s="191"/>
      <c r="CA84" s="191"/>
      <c r="CB84" s="191"/>
      <c r="CC84" s="191"/>
      <c r="CD84" s="191"/>
      <c r="CE84" s="191"/>
      <c r="CF84" s="191"/>
      <c r="CG84" s="191"/>
      <c r="CH84" s="191"/>
      <c r="CI84" s="191"/>
      <c r="CJ84" s="191"/>
      <c r="CK84" s="191"/>
      <c r="CL84" s="191"/>
      <c r="CM84" s="191">
        <v>0</v>
      </c>
      <c r="CN84" s="191"/>
      <c r="CO84" s="191"/>
      <c r="CP84" s="191"/>
      <c r="CQ84" s="191"/>
      <c r="CR84" s="191"/>
      <c r="CS84" s="191"/>
      <c r="CT84" s="191"/>
      <c r="CU84" s="191"/>
      <c r="CV84" s="191"/>
      <c r="CW84" s="191"/>
      <c r="CX84" s="191"/>
      <c r="CY84" s="191"/>
      <c r="CZ84" s="191"/>
      <c r="DA84" s="191"/>
      <c r="DB84" s="191"/>
      <c r="DC84" s="191">
        <v>0</v>
      </c>
      <c r="DD84" s="191"/>
      <c r="DE84" s="191"/>
      <c r="DF84" s="191"/>
      <c r="DG84" s="191"/>
      <c r="DH84" s="191"/>
      <c r="DI84" s="191"/>
      <c r="DJ84" s="191"/>
      <c r="DK84" s="191"/>
      <c r="DL84" s="191"/>
      <c r="DM84" s="191"/>
      <c r="DN84" s="191"/>
      <c r="DO84" s="191"/>
      <c r="DP84" s="191"/>
      <c r="DQ84" s="191"/>
      <c r="DR84" s="191">
        <v>0</v>
      </c>
      <c r="DS84" s="191"/>
      <c r="DT84" s="191"/>
      <c r="DU84" s="191"/>
      <c r="DV84" s="191"/>
      <c r="DW84" s="191"/>
      <c r="DX84" s="191"/>
      <c r="DY84" s="191"/>
      <c r="DZ84" s="191"/>
      <c r="EA84" s="191"/>
      <c r="EB84" s="191"/>
      <c r="EC84" s="191"/>
      <c r="ED84" s="191"/>
      <c r="EE84" s="191"/>
      <c r="EF84" s="191"/>
      <c r="EG84" s="191">
        <f t="shared" si="5"/>
        <v>0</v>
      </c>
      <c r="EH84" s="191"/>
      <c r="EI84" s="191"/>
      <c r="EJ84" s="191"/>
      <c r="EK84" s="191"/>
      <c r="EL84" s="191"/>
      <c r="EM84" s="191"/>
      <c r="EN84" s="191"/>
      <c r="EO84" s="191"/>
      <c r="EP84" s="191"/>
      <c r="EQ84" s="191"/>
      <c r="ER84" s="191"/>
      <c r="ES84" s="191"/>
      <c r="ET84" s="191"/>
      <c r="EU84" s="191"/>
      <c r="EV84" s="220">
        <f t="shared" si="7"/>
        <v>0</v>
      </c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</row>
    <row r="85" spans="1:189" s="47" customFormat="1" ht="26.25" customHeight="1" thickBot="1">
      <c r="A85" s="221" t="s">
        <v>163</v>
      </c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2"/>
      <c r="AO85" s="222"/>
      <c r="AP85" s="222"/>
      <c r="AQ85" s="222"/>
      <c r="AR85" s="222"/>
      <c r="AS85" s="222"/>
      <c r="AT85" s="190" t="s">
        <v>162</v>
      </c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  <c r="BI85" s="190"/>
      <c r="BJ85" s="190"/>
      <c r="BK85" s="190"/>
      <c r="BL85" s="190"/>
      <c r="BM85" s="190"/>
      <c r="BN85" s="190"/>
      <c r="BO85" s="190"/>
      <c r="BP85" s="190"/>
      <c r="BQ85" s="190"/>
      <c r="BR85" s="191">
        <v>0</v>
      </c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  <c r="CE85" s="191"/>
      <c r="CF85" s="191"/>
      <c r="CG85" s="191"/>
      <c r="CH85" s="191"/>
      <c r="CI85" s="191"/>
      <c r="CJ85" s="191"/>
      <c r="CK85" s="191"/>
      <c r="CL85" s="191"/>
      <c r="CM85" s="191">
        <v>0</v>
      </c>
      <c r="CN85" s="191"/>
      <c r="CO85" s="191"/>
      <c r="CP85" s="191"/>
      <c r="CQ85" s="191"/>
      <c r="CR85" s="191"/>
      <c r="CS85" s="191"/>
      <c r="CT85" s="191"/>
      <c r="CU85" s="191"/>
      <c r="CV85" s="191"/>
      <c r="CW85" s="191"/>
      <c r="CX85" s="191"/>
      <c r="CY85" s="191"/>
      <c r="CZ85" s="191"/>
      <c r="DA85" s="191"/>
      <c r="DB85" s="191"/>
      <c r="DC85" s="191">
        <v>0</v>
      </c>
      <c r="DD85" s="191"/>
      <c r="DE85" s="191"/>
      <c r="DF85" s="191"/>
      <c r="DG85" s="191"/>
      <c r="DH85" s="191"/>
      <c r="DI85" s="191"/>
      <c r="DJ85" s="191"/>
      <c r="DK85" s="191"/>
      <c r="DL85" s="191"/>
      <c r="DM85" s="191"/>
      <c r="DN85" s="191"/>
      <c r="DO85" s="191"/>
      <c r="DP85" s="191"/>
      <c r="DQ85" s="191"/>
      <c r="DR85" s="191">
        <v>0</v>
      </c>
      <c r="DS85" s="191"/>
      <c r="DT85" s="191"/>
      <c r="DU85" s="191"/>
      <c r="DV85" s="191"/>
      <c r="DW85" s="191"/>
      <c r="DX85" s="191"/>
      <c r="DY85" s="191"/>
      <c r="DZ85" s="191"/>
      <c r="EA85" s="191"/>
      <c r="EB85" s="191"/>
      <c r="EC85" s="191"/>
      <c r="ED85" s="191"/>
      <c r="EE85" s="191"/>
      <c r="EF85" s="191"/>
      <c r="EG85" s="191">
        <f t="shared" si="5"/>
        <v>0</v>
      </c>
      <c r="EH85" s="191"/>
      <c r="EI85" s="191"/>
      <c r="EJ85" s="191"/>
      <c r="EK85" s="191"/>
      <c r="EL85" s="191"/>
      <c r="EM85" s="191"/>
      <c r="EN85" s="191"/>
      <c r="EO85" s="191"/>
      <c r="EP85" s="191"/>
      <c r="EQ85" s="191"/>
      <c r="ER85" s="191"/>
      <c r="ES85" s="191"/>
      <c r="ET85" s="191"/>
      <c r="EU85" s="191"/>
      <c r="EV85" s="220">
        <f t="shared" si="7"/>
        <v>0</v>
      </c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</row>
    <row r="86" spans="1:189" s="51" customFormat="1" ht="20.25" customHeight="1" thickBot="1">
      <c r="A86" s="363" t="s">
        <v>161</v>
      </c>
      <c r="B86" s="364"/>
      <c r="C86" s="364"/>
      <c r="D86" s="364"/>
      <c r="E86" s="364"/>
      <c r="F86" s="364"/>
      <c r="G86" s="364"/>
      <c r="H86" s="364"/>
      <c r="I86" s="364"/>
      <c r="J86" s="364"/>
      <c r="K86" s="364"/>
      <c r="L86" s="364"/>
      <c r="M86" s="364"/>
      <c r="N86" s="364"/>
      <c r="O86" s="364"/>
      <c r="P86" s="364"/>
      <c r="Q86" s="364"/>
      <c r="R86" s="364"/>
      <c r="S86" s="364"/>
      <c r="T86" s="364"/>
      <c r="U86" s="364"/>
      <c r="V86" s="364"/>
      <c r="W86" s="364"/>
      <c r="X86" s="364"/>
      <c r="Y86" s="364"/>
      <c r="Z86" s="364"/>
      <c r="AA86" s="364"/>
      <c r="AB86" s="364"/>
      <c r="AC86" s="364"/>
      <c r="AD86" s="364"/>
      <c r="AE86" s="364"/>
      <c r="AF86" s="364"/>
      <c r="AG86" s="364"/>
      <c r="AH86" s="364"/>
      <c r="AI86" s="364"/>
      <c r="AJ86" s="364"/>
      <c r="AK86" s="364"/>
      <c r="AL86" s="364"/>
      <c r="AM86" s="364"/>
      <c r="AN86" s="366"/>
      <c r="AO86" s="366"/>
      <c r="AP86" s="366"/>
      <c r="AQ86" s="366"/>
      <c r="AR86" s="366"/>
      <c r="AS86" s="366"/>
      <c r="AT86" s="368" t="s">
        <v>160</v>
      </c>
      <c r="AU86" s="368"/>
      <c r="AV86" s="368"/>
      <c r="AW86" s="368"/>
      <c r="AX86" s="368"/>
      <c r="AY86" s="368"/>
      <c r="AZ86" s="368"/>
      <c r="BA86" s="368"/>
      <c r="BB86" s="368"/>
      <c r="BC86" s="368"/>
      <c r="BD86" s="368"/>
      <c r="BE86" s="368"/>
      <c r="BF86" s="368"/>
      <c r="BG86" s="368"/>
      <c r="BH86" s="368"/>
      <c r="BI86" s="368"/>
      <c r="BJ86" s="368"/>
      <c r="BK86" s="368"/>
      <c r="BL86" s="368"/>
      <c r="BM86" s="368"/>
      <c r="BN86" s="368"/>
      <c r="BO86" s="368"/>
      <c r="BP86" s="368"/>
      <c r="BQ86" s="368"/>
      <c r="BR86" s="365">
        <f>BR87</f>
        <v>4984600</v>
      </c>
      <c r="BS86" s="365"/>
      <c r="BT86" s="365"/>
      <c r="BU86" s="365"/>
      <c r="BV86" s="365"/>
      <c r="BW86" s="365"/>
      <c r="BX86" s="365"/>
      <c r="BY86" s="365"/>
      <c r="BZ86" s="365"/>
      <c r="CA86" s="365"/>
      <c r="CB86" s="365"/>
      <c r="CC86" s="365"/>
      <c r="CD86" s="365"/>
      <c r="CE86" s="365"/>
      <c r="CF86" s="365"/>
      <c r="CG86" s="365"/>
      <c r="CH86" s="365"/>
      <c r="CI86" s="365"/>
      <c r="CJ86" s="365"/>
      <c r="CK86" s="365"/>
      <c r="CL86" s="365"/>
      <c r="CM86" s="365">
        <f>CM87</f>
        <v>4981200</v>
      </c>
      <c r="CN86" s="365"/>
      <c r="CO86" s="365"/>
      <c r="CP86" s="365"/>
      <c r="CQ86" s="365"/>
      <c r="CR86" s="365"/>
      <c r="CS86" s="365"/>
      <c r="CT86" s="365"/>
      <c r="CU86" s="365"/>
      <c r="CV86" s="365"/>
      <c r="CW86" s="365"/>
      <c r="CX86" s="365"/>
      <c r="CY86" s="365"/>
      <c r="CZ86" s="365"/>
      <c r="DA86" s="365"/>
      <c r="DB86" s="365"/>
      <c r="DC86" s="413">
        <v>0</v>
      </c>
      <c r="DD86" s="413"/>
      <c r="DE86" s="413"/>
      <c r="DF86" s="413"/>
      <c r="DG86" s="413"/>
      <c r="DH86" s="413"/>
      <c r="DI86" s="413"/>
      <c r="DJ86" s="413"/>
      <c r="DK86" s="413"/>
      <c r="DL86" s="413"/>
      <c r="DM86" s="413"/>
      <c r="DN86" s="413"/>
      <c r="DO86" s="413"/>
      <c r="DP86" s="413"/>
      <c r="DQ86" s="413"/>
      <c r="DR86" s="413">
        <v>0</v>
      </c>
      <c r="DS86" s="413"/>
      <c r="DT86" s="413"/>
      <c r="DU86" s="413"/>
      <c r="DV86" s="413"/>
      <c r="DW86" s="413"/>
      <c r="DX86" s="413"/>
      <c r="DY86" s="413"/>
      <c r="DZ86" s="413"/>
      <c r="EA86" s="413"/>
      <c r="EB86" s="413"/>
      <c r="EC86" s="413"/>
      <c r="ED86" s="413"/>
      <c r="EE86" s="413"/>
      <c r="EF86" s="413"/>
      <c r="EG86" s="365">
        <f t="shared" si="5"/>
        <v>4981200</v>
      </c>
      <c r="EH86" s="365"/>
      <c r="EI86" s="365"/>
      <c r="EJ86" s="365"/>
      <c r="EK86" s="365"/>
      <c r="EL86" s="365"/>
      <c r="EM86" s="365"/>
      <c r="EN86" s="365"/>
      <c r="EO86" s="365"/>
      <c r="EP86" s="365"/>
      <c r="EQ86" s="365"/>
      <c r="ER86" s="365"/>
      <c r="ES86" s="365"/>
      <c r="ET86" s="365"/>
      <c r="EU86" s="365"/>
      <c r="EV86" s="414">
        <f t="shared" si="7"/>
        <v>3400</v>
      </c>
      <c r="EW86" s="414"/>
      <c r="EX86" s="414"/>
      <c r="EY86" s="414"/>
      <c r="EZ86" s="414"/>
      <c r="FA86" s="414"/>
      <c r="FB86" s="414"/>
      <c r="FC86" s="414"/>
      <c r="FD86" s="414"/>
      <c r="FE86" s="414"/>
      <c r="FF86" s="414"/>
      <c r="FG86" s="414"/>
      <c r="FH86" s="414"/>
      <c r="FI86" s="414"/>
      <c r="FJ86" s="415"/>
      <c r="FK86" s="52"/>
      <c r="FL86" s="52"/>
      <c r="FM86" s="52"/>
      <c r="FN86" s="52"/>
      <c r="FO86" s="52"/>
      <c r="FP86" s="52"/>
      <c r="FQ86" s="52"/>
      <c r="FR86" s="52"/>
      <c r="FS86" s="52"/>
      <c r="FT86" s="52"/>
      <c r="FU86" s="52"/>
      <c r="FV86" s="52"/>
      <c r="FW86" s="52"/>
      <c r="FX86" s="52"/>
      <c r="FY86" s="52"/>
      <c r="FZ86" s="52"/>
      <c r="GA86" s="52"/>
      <c r="GB86" s="52"/>
      <c r="GC86" s="52"/>
      <c r="GD86" s="52"/>
      <c r="GE86" s="52"/>
      <c r="GF86" s="52"/>
      <c r="GG86" s="52"/>
    </row>
    <row r="87" spans="1:189" s="47" customFormat="1" ht="38.25" customHeight="1">
      <c r="A87" s="367" t="s">
        <v>159</v>
      </c>
      <c r="B87" s="367"/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  <c r="AH87" s="367"/>
      <c r="AI87" s="367"/>
      <c r="AJ87" s="367"/>
      <c r="AK87" s="367"/>
      <c r="AL87" s="367"/>
      <c r="AM87" s="367"/>
      <c r="AN87" s="359"/>
      <c r="AO87" s="359"/>
      <c r="AP87" s="359"/>
      <c r="AQ87" s="359"/>
      <c r="AR87" s="359"/>
      <c r="AS87" s="359"/>
      <c r="AT87" s="201" t="s">
        <v>158</v>
      </c>
      <c r="AU87" s="201"/>
      <c r="AV87" s="201"/>
      <c r="AW87" s="201"/>
      <c r="AX87" s="201"/>
      <c r="AY87" s="201"/>
      <c r="AZ87" s="201"/>
      <c r="BA87" s="201"/>
      <c r="BB87" s="201"/>
      <c r="BC87" s="201"/>
      <c r="BD87" s="201"/>
      <c r="BE87" s="201"/>
      <c r="BF87" s="201"/>
      <c r="BG87" s="201"/>
      <c r="BH87" s="201"/>
      <c r="BI87" s="201"/>
      <c r="BJ87" s="201"/>
      <c r="BK87" s="201"/>
      <c r="BL87" s="201"/>
      <c r="BM87" s="201"/>
      <c r="BN87" s="201"/>
      <c r="BO87" s="201"/>
      <c r="BP87" s="201"/>
      <c r="BQ87" s="201"/>
      <c r="BR87" s="202">
        <f>BR88+BR91+BR96</f>
        <v>4984600</v>
      </c>
      <c r="BS87" s="202"/>
      <c r="BT87" s="202"/>
      <c r="BU87" s="202"/>
      <c r="BV87" s="202"/>
      <c r="BW87" s="202"/>
      <c r="BX87" s="202"/>
      <c r="BY87" s="202"/>
      <c r="BZ87" s="202"/>
      <c r="CA87" s="202"/>
      <c r="CB87" s="202"/>
      <c r="CC87" s="202"/>
      <c r="CD87" s="202"/>
      <c r="CE87" s="202"/>
      <c r="CF87" s="202"/>
      <c r="CG87" s="202"/>
      <c r="CH87" s="202"/>
      <c r="CI87" s="202"/>
      <c r="CJ87" s="202"/>
      <c r="CK87" s="202"/>
      <c r="CL87" s="202"/>
      <c r="CM87" s="202">
        <f>CM88+CM91+CM96</f>
        <v>4981200</v>
      </c>
      <c r="CN87" s="202"/>
      <c r="CO87" s="202"/>
      <c r="CP87" s="202"/>
      <c r="CQ87" s="202"/>
      <c r="CR87" s="202"/>
      <c r="CS87" s="202"/>
      <c r="CT87" s="202"/>
      <c r="CU87" s="202"/>
      <c r="CV87" s="202"/>
      <c r="CW87" s="202"/>
      <c r="CX87" s="202"/>
      <c r="CY87" s="202"/>
      <c r="CZ87" s="202"/>
      <c r="DA87" s="202"/>
      <c r="DB87" s="202"/>
      <c r="DC87" s="202">
        <v>0</v>
      </c>
      <c r="DD87" s="202"/>
      <c r="DE87" s="202"/>
      <c r="DF87" s="202"/>
      <c r="DG87" s="202"/>
      <c r="DH87" s="202"/>
      <c r="DI87" s="202"/>
      <c r="DJ87" s="202"/>
      <c r="DK87" s="202"/>
      <c r="DL87" s="202"/>
      <c r="DM87" s="202"/>
      <c r="DN87" s="202"/>
      <c r="DO87" s="202"/>
      <c r="DP87" s="202"/>
      <c r="DQ87" s="202"/>
      <c r="DR87" s="202">
        <v>0</v>
      </c>
      <c r="DS87" s="202"/>
      <c r="DT87" s="202"/>
      <c r="DU87" s="202"/>
      <c r="DV87" s="202"/>
      <c r="DW87" s="202"/>
      <c r="DX87" s="202"/>
      <c r="DY87" s="202"/>
      <c r="DZ87" s="202"/>
      <c r="EA87" s="202"/>
      <c r="EB87" s="202"/>
      <c r="EC87" s="202"/>
      <c r="ED87" s="202"/>
      <c r="EE87" s="202"/>
      <c r="EF87" s="202"/>
      <c r="EG87" s="202">
        <f t="shared" si="5"/>
        <v>4981200</v>
      </c>
      <c r="EH87" s="202"/>
      <c r="EI87" s="202"/>
      <c r="EJ87" s="202"/>
      <c r="EK87" s="202"/>
      <c r="EL87" s="202"/>
      <c r="EM87" s="202"/>
      <c r="EN87" s="202"/>
      <c r="EO87" s="202"/>
      <c r="EP87" s="202"/>
      <c r="EQ87" s="202"/>
      <c r="ER87" s="202"/>
      <c r="ES87" s="202"/>
      <c r="ET87" s="202"/>
      <c r="EU87" s="202"/>
      <c r="EV87" s="216">
        <f>BR87-CM87</f>
        <v>3400</v>
      </c>
      <c r="EW87" s="216"/>
      <c r="EX87" s="216"/>
      <c r="EY87" s="216"/>
      <c r="EZ87" s="216"/>
      <c r="FA87" s="216"/>
      <c r="FB87" s="216"/>
      <c r="FC87" s="216"/>
      <c r="FD87" s="216"/>
      <c r="FE87" s="216"/>
      <c r="FF87" s="216"/>
      <c r="FG87" s="216"/>
      <c r="FH87" s="216"/>
      <c r="FI87" s="216"/>
      <c r="FJ87" s="216"/>
    </row>
    <row r="88" spans="1:189" s="50" customFormat="1" ht="37.5" customHeight="1">
      <c r="A88" s="224" t="s">
        <v>157</v>
      </c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5"/>
      <c r="AO88" s="225"/>
      <c r="AP88" s="225"/>
      <c r="AQ88" s="225"/>
      <c r="AR88" s="225"/>
      <c r="AS88" s="225"/>
      <c r="AT88" s="226" t="s">
        <v>156</v>
      </c>
      <c r="AU88" s="226"/>
      <c r="AV88" s="226"/>
      <c r="AW88" s="226"/>
      <c r="AX88" s="226"/>
      <c r="AY88" s="226"/>
      <c r="AZ88" s="226"/>
      <c r="BA88" s="226"/>
      <c r="BB88" s="226"/>
      <c r="BC88" s="226"/>
      <c r="BD88" s="226"/>
      <c r="BE88" s="226"/>
      <c r="BF88" s="226"/>
      <c r="BG88" s="226"/>
      <c r="BH88" s="226"/>
      <c r="BI88" s="226"/>
      <c r="BJ88" s="226"/>
      <c r="BK88" s="226"/>
      <c r="BL88" s="226"/>
      <c r="BM88" s="226"/>
      <c r="BN88" s="226"/>
      <c r="BO88" s="226"/>
      <c r="BP88" s="226"/>
      <c r="BQ88" s="226"/>
      <c r="BR88" s="217">
        <f>BR89</f>
        <v>3838800</v>
      </c>
      <c r="BS88" s="217"/>
      <c r="BT88" s="217"/>
      <c r="BU88" s="217"/>
      <c r="BV88" s="217"/>
      <c r="BW88" s="217"/>
      <c r="BX88" s="217"/>
      <c r="BY88" s="217"/>
      <c r="BZ88" s="217"/>
      <c r="CA88" s="217"/>
      <c r="CB88" s="217"/>
      <c r="CC88" s="217"/>
      <c r="CD88" s="217"/>
      <c r="CE88" s="217"/>
      <c r="CF88" s="217"/>
      <c r="CG88" s="217"/>
      <c r="CH88" s="217"/>
      <c r="CI88" s="217"/>
      <c r="CJ88" s="217"/>
      <c r="CK88" s="217"/>
      <c r="CL88" s="217"/>
      <c r="CM88" s="217">
        <f>CM89</f>
        <v>3838800</v>
      </c>
      <c r="CN88" s="217"/>
      <c r="CO88" s="217"/>
      <c r="CP88" s="217"/>
      <c r="CQ88" s="217"/>
      <c r="CR88" s="217"/>
      <c r="CS88" s="217"/>
      <c r="CT88" s="217"/>
      <c r="CU88" s="217"/>
      <c r="CV88" s="217"/>
      <c r="CW88" s="217"/>
      <c r="CX88" s="217"/>
      <c r="CY88" s="217"/>
      <c r="CZ88" s="217"/>
      <c r="DA88" s="217"/>
      <c r="DB88" s="217"/>
      <c r="DC88" s="191">
        <v>0</v>
      </c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>
        <v>0</v>
      </c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217">
        <f t="shared" si="5"/>
        <v>3838800</v>
      </c>
      <c r="EH88" s="217"/>
      <c r="EI88" s="217"/>
      <c r="EJ88" s="217"/>
      <c r="EK88" s="217"/>
      <c r="EL88" s="217"/>
      <c r="EM88" s="217"/>
      <c r="EN88" s="217"/>
      <c r="EO88" s="217"/>
      <c r="EP88" s="217"/>
      <c r="EQ88" s="217"/>
      <c r="ER88" s="217"/>
      <c r="ES88" s="217"/>
      <c r="ET88" s="217"/>
      <c r="EU88" s="217"/>
      <c r="EV88" s="390">
        <f t="shared" ref="EV88:EV100" si="8">BR88-EG88</f>
        <v>0</v>
      </c>
      <c r="EW88" s="390"/>
      <c r="EX88" s="390"/>
      <c r="EY88" s="390"/>
      <c r="EZ88" s="390"/>
      <c r="FA88" s="390"/>
      <c r="FB88" s="390"/>
      <c r="FC88" s="390"/>
      <c r="FD88" s="390"/>
      <c r="FE88" s="390"/>
      <c r="FF88" s="390"/>
      <c r="FG88" s="390"/>
      <c r="FH88" s="390"/>
      <c r="FI88" s="390"/>
      <c r="FJ88" s="390"/>
    </row>
    <row r="89" spans="1:189" s="47" customFormat="1" ht="26.25" customHeight="1">
      <c r="A89" s="221" t="s">
        <v>26</v>
      </c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2"/>
      <c r="AO89" s="222"/>
      <c r="AP89" s="222"/>
      <c r="AQ89" s="222"/>
      <c r="AR89" s="222"/>
      <c r="AS89" s="222"/>
      <c r="AT89" s="190" t="s">
        <v>155</v>
      </c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1">
        <f>BR90</f>
        <v>3838800</v>
      </c>
      <c r="BS89" s="191"/>
      <c r="BT89" s="191"/>
      <c r="BU89" s="191"/>
      <c r="BV89" s="191"/>
      <c r="BW89" s="191"/>
      <c r="BX89" s="191"/>
      <c r="BY89" s="191"/>
      <c r="BZ89" s="191"/>
      <c r="CA89" s="191"/>
      <c r="CB89" s="191"/>
      <c r="CC89" s="191"/>
      <c r="CD89" s="191"/>
      <c r="CE89" s="191"/>
      <c r="CF89" s="191"/>
      <c r="CG89" s="191"/>
      <c r="CH89" s="191"/>
      <c r="CI89" s="191"/>
      <c r="CJ89" s="191"/>
      <c r="CK89" s="191"/>
      <c r="CL89" s="191"/>
      <c r="CM89" s="217">
        <f>CM90</f>
        <v>3838800</v>
      </c>
      <c r="CN89" s="217"/>
      <c r="CO89" s="217"/>
      <c r="CP89" s="217"/>
      <c r="CQ89" s="217"/>
      <c r="CR89" s="217"/>
      <c r="CS89" s="217"/>
      <c r="CT89" s="217"/>
      <c r="CU89" s="217"/>
      <c r="CV89" s="217"/>
      <c r="CW89" s="217"/>
      <c r="CX89" s="217"/>
      <c r="CY89" s="217"/>
      <c r="CZ89" s="217"/>
      <c r="DA89" s="217"/>
      <c r="DB89" s="217"/>
      <c r="DC89" s="191">
        <v>0</v>
      </c>
      <c r="DD89" s="191"/>
      <c r="DE89" s="191"/>
      <c r="DF89" s="191"/>
      <c r="DG89" s="191"/>
      <c r="DH89" s="191"/>
      <c r="DI89" s="191"/>
      <c r="DJ89" s="191"/>
      <c r="DK89" s="191"/>
      <c r="DL89" s="191"/>
      <c r="DM89" s="191"/>
      <c r="DN89" s="191"/>
      <c r="DO89" s="191"/>
      <c r="DP89" s="191"/>
      <c r="DQ89" s="191"/>
      <c r="DR89" s="191">
        <v>0</v>
      </c>
      <c r="DS89" s="191"/>
      <c r="DT89" s="191"/>
      <c r="DU89" s="191"/>
      <c r="DV89" s="191"/>
      <c r="DW89" s="191"/>
      <c r="DX89" s="191"/>
      <c r="DY89" s="191"/>
      <c r="DZ89" s="191"/>
      <c r="EA89" s="191"/>
      <c r="EB89" s="191"/>
      <c r="EC89" s="191"/>
      <c r="ED89" s="191"/>
      <c r="EE89" s="191"/>
      <c r="EF89" s="191"/>
      <c r="EG89" s="217">
        <f t="shared" si="5"/>
        <v>3838800</v>
      </c>
      <c r="EH89" s="217"/>
      <c r="EI89" s="217"/>
      <c r="EJ89" s="217"/>
      <c r="EK89" s="217"/>
      <c r="EL89" s="217"/>
      <c r="EM89" s="217"/>
      <c r="EN89" s="217"/>
      <c r="EO89" s="217"/>
      <c r="EP89" s="217"/>
      <c r="EQ89" s="217"/>
      <c r="ER89" s="217"/>
      <c r="ES89" s="217"/>
      <c r="ET89" s="217"/>
      <c r="EU89" s="217"/>
      <c r="EV89" s="220">
        <f t="shared" si="8"/>
        <v>0</v>
      </c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</row>
    <row r="90" spans="1:189" s="47" customFormat="1" ht="37.5" customHeight="1">
      <c r="A90" s="221" t="s">
        <v>154</v>
      </c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2"/>
      <c r="AO90" s="222"/>
      <c r="AP90" s="222"/>
      <c r="AQ90" s="222"/>
      <c r="AR90" s="222"/>
      <c r="AS90" s="222"/>
      <c r="AT90" s="190" t="s">
        <v>153</v>
      </c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  <c r="BI90" s="190"/>
      <c r="BJ90" s="190"/>
      <c r="BK90" s="190"/>
      <c r="BL90" s="190"/>
      <c r="BM90" s="190"/>
      <c r="BN90" s="190"/>
      <c r="BO90" s="190"/>
      <c r="BP90" s="190"/>
      <c r="BQ90" s="190"/>
      <c r="BR90" s="191">
        <v>3838800</v>
      </c>
      <c r="BS90" s="191"/>
      <c r="BT90" s="191"/>
      <c r="BU90" s="191"/>
      <c r="BV90" s="191"/>
      <c r="BW90" s="191"/>
      <c r="BX90" s="191"/>
      <c r="BY90" s="191"/>
      <c r="BZ90" s="191"/>
      <c r="CA90" s="191"/>
      <c r="CB90" s="191"/>
      <c r="CC90" s="191"/>
      <c r="CD90" s="191"/>
      <c r="CE90" s="191"/>
      <c r="CF90" s="191"/>
      <c r="CG90" s="191"/>
      <c r="CH90" s="191"/>
      <c r="CI90" s="191"/>
      <c r="CJ90" s="191"/>
      <c r="CK90" s="191"/>
      <c r="CL90" s="191"/>
      <c r="CM90" s="217">
        <f>3646800+192000</f>
        <v>3838800</v>
      </c>
      <c r="CN90" s="217"/>
      <c r="CO90" s="217"/>
      <c r="CP90" s="217"/>
      <c r="CQ90" s="217"/>
      <c r="CR90" s="217"/>
      <c r="CS90" s="217"/>
      <c r="CT90" s="217"/>
      <c r="CU90" s="217"/>
      <c r="CV90" s="217"/>
      <c r="CW90" s="217"/>
      <c r="CX90" s="217"/>
      <c r="CY90" s="217"/>
      <c r="CZ90" s="217"/>
      <c r="DA90" s="217"/>
      <c r="DB90" s="217"/>
      <c r="DC90" s="191">
        <v>0</v>
      </c>
      <c r="DD90" s="191"/>
      <c r="DE90" s="191"/>
      <c r="DF90" s="191"/>
      <c r="DG90" s="191"/>
      <c r="DH90" s="191"/>
      <c r="DI90" s="191"/>
      <c r="DJ90" s="191"/>
      <c r="DK90" s="191"/>
      <c r="DL90" s="191"/>
      <c r="DM90" s="191"/>
      <c r="DN90" s="191"/>
      <c r="DO90" s="191"/>
      <c r="DP90" s="191"/>
      <c r="DQ90" s="191"/>
      <c r="DR90" s="191">
        <v>0</v>
      </c>
      <c r="DS90" s="191"/>
      <c r="DT90" s="191"/>
      <c r="DU90" s="191"/>
      <c r="DV90" s="191"/>
      <c r="DW90" s="191"/>
      <c r="DX90" s="191"/>
      <c r="DY90" s="191"/>
      <c r="DZ90" s="191"/>
      <c r="EA90" s="191"/>
      <c r="EB90" s="191"/>
      <c r="EC90" s="191"/>
      <c r="ED90" s="191"/>
      <c r="EE90" s="191"/>
      <c r="EF90" s="191"/>
      <c r="EG90" s="217">
        <f t="shared" si="5"/>
        <v>3838800</v>
      </c>
      <c r="EH90" s="217"/>
      <c r="EI90" s="217"/>
      <c r="EJ90" s="217"/>
      <c r="EK90" s="217"/>
      <c r="EL90" s="217"/>
      <c r="EM90" s="217"/>
      <c r="EN90" s="217"/>
      <c r="EO90" s="217"/>
      <c r="EP90" s="217"/>
      <c r="EQ90" s="217"/>
      <c r="ER90" s="217"/>
      <c r="ES90" s="217"/>
      <c r="ET90" s="217"/>
      <c r="EU90" s="217"/>
      <c r="EV90" s="220">
        <f t="shared" si="8"/>
        <v>0</v>
      </c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</row>
    <row r="91" spans="1:189" s="50" customFormat="1" ht="38.25" customHeight="1">
      <c r="A91" s="372" t="s">
        <v>152</v>
      </c>
      <c r="B91" s="372"/>
      <c r="C91" s="372"/>
      <c r="D91" s="372"/>
      <c r="E91" s="372"/>
      <c r="F91" s="372"/>
      <c r="G91" s="372"/>
      <c r="H91" s="372"/>
      <c r="I91" s="372"/>
      <c r="J91" s="372"/>
      <c r="K91" s="372"/>
      <c r="L91" s="372"/>
      <c r="M91" s="372"/>
      <c r="N91" s="372"/>
      <c r="O91" s="372"/>
      <c r="P91" s="372"/>
      <c r="Q91" s="372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372"/>
      <c r="AC91" s="372"/>
      <c r="AD91" s="372"/>
      <c r="AE91" s="372"/>
      <c r="AF91" s="372"/>
      <c r="AG91" s="372"/>
      <c r="AH91" s="372"/>
      <c r="AI91" s="372"/>
      <c r="AJ91" s="372"/>
      <c r="AK91" s="372"/>
      <c r="AL91" s="372"/>
      <c r="AM91" s="224"/>
      <c r="AN91" s="225"/>
      <c r="AO91" s="225"/>
      <c r="AP91" s="225"/>
      <c r="AQ91" s="225"/>
      <c r="AR91" s="225"/>
      <c r="AS91" s="225"/>
      <c r="AT91" s="226" t="s">
        <v>151</v>
      </c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26"/>
      <c r="BN91" s="226"/>
      <c r="BO91" s="226"/>
      <c r="BP91" s="226"/>
      <c r="BQ91" s="226"/>
      <c r="BR91" s="217">
        <f>BR92+BR94</f>
        <v>240400</v>
      </c>
      <c r="BS91" s="217"/>
      <c r="BT91" s="217"/>
      <c r="BU91" s="217"/>
      <c r="BV91" s="217"/>
      <c r="BW91" s="217"/>
      <c r="BX91" s="217"/>
      <c r="BY91" s="217"/>
      <c r="BZ91" s="217"/>
      <c r="CA91" s="217"/>
      <c r="CB91" s="217"/>
      <c r="CC91" s="217"/>
      <c r="CD91" s="217"/>
      <c r="CE91" s="217"/>
      <c r="CF91" s="217"/>
      <c r="CG91" s="217"/>
      <c r="CH91" s="217"/>
      <c r="CI91" s="217"/>
      <c r="CJ91" s="217"/>
      <c r="CK91" s="217"/>
      <c r="CL91" s="217"/>
      <c r="CM91" s="217">
        <f>CM92+CM94</f>
        <v>240400</v>
      </c>
      <c r="CN91" s="217"/>
      <c r="CO91" s="217"/>
      <c r="CP91" s="217"/>
      <c r="CQ91" s="217"/>
      <c r="CR91" s="217"/>
      <c r="CS91" s="217"/>
      <c r="CT91" s="217"/>
      <c r="CU91" s="217"/>
      <c r="CV91" s="217"/>
      <c r="CW91" s="217"/>
      <c r="CX91" s="217"/>
      <c r="CY91" s="217"/>
      <c r="CZ91" s="217"/>
      <c r="DA91" s="217"/>
      <c r="DB91" s="217"/>
      <c r="DC91" s="191">
        <v>0</v>
      </c>
      <c r="DD91" s="191"/>
      <c r="DE91" s="191"/>
      <c r="DF91" s="191"/>
      <c r="DG91" s="191"/>
      <c r="DH91" s="191"/>
      <c r="DI91" s="191"/>
      <c r="DJ91" s="191"/>
      <c r="DK91" s="191"/>
      <c r="DL91" s="191"/>
      <c r="DM91" s="191"/>
      <c r="DN91" s="191"/>
      <c r="DO91" s="191"/>
      <c r="DP91" s="191"/>
      <c r="DQ91" s="191"/>
      <c r="DR91" s="217">
        <v>0</v>
      </c>
      <c r="DS91" s="217"/>
      <c r="DT91" s="217"/>
      <c r="DU91" s="217"/>
      <c r="DV91" s="217"/>
      <c r="DW91" s="217"/>
      <c r="DX91" s="217"/>
      <c r="DY91" s="217"/>
      <c r="DZ91" s="217"/>
      <c r="EA91" s="217"/>
      <c r="EB91" s="217"/>
      <c r="EC91" s="217"/>
      <c r="ED91" s="217"/>
      <c r="EE91" s="217"/>
      <c r="EF91" s="217"/>
      <c r="EG91" s="217">
        <f t="shared" si="5"/>
        <v>240400</v>
      </c>
      <c r="EH91" s="217"/>
      <c r="EI91" s="217"/>
      <c r="EJ91" s="217"/>
      <c r="EK91" s="217"/>
      <c r="EL91" s="217"/>
      <c r="EM91" s="217"/>
      <c r="EN91" s="217"/>
      <c r="EO91" s="217"/>
      <c r="EP91" s="217"/>
      <c r="EQ91" s="217"/>
      <c r="ER91" s="217"/>
      <c r="ES91" s="217"/>
      <c r="ET91" s="217"/>
      <c r="EU91" s="217"/>
      <c r="EV91" s="390">
        <f t="shared" si="8"/>
        <v>0</v>
      </c>
      <c r="EW91" s="390"/>
      <c r="EX91" s="390"/>
      <c r="EY91" s="390"/>
      <c r="EZ91" s="390"/>
      <c r="FA91" s="390"/>
      <c r="FB91" s="390"/>
      <c r="FC91" s="390"/>
      <c r="FD91" s="390"/>
      <c r="FE91" s="390"/>
      <c r="FF91" s="390"/>
      <c r="FG91" s="390"/>
      <c r="FH91" s="390"/>
      <c r="FI91" s="390"/>
      <c r="FJ91" s="390"/>
    </row>
    <row r="92" spans="1:189" s="50" customFormat="1" ht="66.75" customHeight="1">
      <c r="A92" s="224" t="s">
        <v>150</v>
      </c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376"/>
      <c r="AO92" s="377"/>
      <c r="AP92" s="377"/>
      <c r="AQ92" s="377"/>
      <c r="AR92" s="377"/>
      <c r="AS92" s="378"/>
      <c r="AT92" s="379" t="s">
        <v>149</v>
      </c>
      <c r="AU92" s="379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79"/>
      <c r="BG92" s="379"/>
      <c r="BH92" s="379"/>
      <c r="BI92" s="379"/>
      <c r="BJ92" s="379"/>
      <c r="BK92" s="379"/>
      <c r="BL92" s="379"/>
      <c r="BM92" s="379"/>
      <c r="BN92" s="379"/>
      <c r="BO92" s="379"/>
      <c r="BP92" s="379"/>
      <c r="BQ92" s="379"/>
      <c r="BR92" s="369">
        <f>BR93</f>
        <v>240200</v>
      </c>
      <c r="BS92" s="370"/>
      <c r="BT92" s="370"/>
      <c r="BU92" s="370"/>
      <c r="BV92" s="370"/>
      <c r="BW92" s="370"/>
      <c r="BX92" s="370"/>
      <c r="BY92" s="370"/>
      <c r="BZ92" s="370"/>
      <c r="CA92" s="370"/>
      <c r="CB92" s="370"/>
      <c r="CC92" s="370"/>
      <c r="CD92" s="370"/>
      <c r="CE92" s="370"/>
      <c r="CF92" s="370"/>
      <c r="CG92" s="370"/>
      <c r="CH92" s="370"/>
      <c r="CI92" s="370"/>
      <c r="CJ92" s="370"/>
      <c r="CK92" s="370"/>
      <c r="CL92" s="371"/>
      <c r="CM92" s="369">
        <f>CM93</f>
        <v>240200</v>
      </c>
      <c r="CN92" s="370"/>
      <c r="CO92" s="370"/>
      <c r="CP92" s="370"/>
      <c r="CQ92" s="370"/>
      <c r="CR92" s="370"/>
      <c r="CS92" s="370"/>
      <c r="CT92" s="370"/>
      <c r="CU92" s="370"/>
      <c r="CV92" s="370"/>
      <c r="CW92" s="370"/>
      <c r="CX92" s="370"/>
      <c r="CY92" s="370"/>
      <c r="CZ92" s="370"/>
      <c r="DA92" s="370"/>
      <c r="DB92" s="371"/>
      <c r="DC92" s="369">
        <v>0</v>
      </c>
      <c r="DD92" s="370"/>
      <c r="DE92" s="370"/>
      <c r="DF92" s="370"/>
      <c r="DG92" s="370"/>
      <c r="DH92" s="370"/>
      <c r="DI92" s="370"/>
      <c r="DJ92" s="370"/>
      <c r="DK92" s="370"/>
      <c r="DL92" s="370"/>
      <c r="DM92" s="370"/>
      <c r="DN92" s="370"/>
      <c r="DO92" s="370"/>
      <c r="DP92" s="370"/>
      <c r="DQ92" s="371"/>
      <c r="DR92" s="369">
        <v>0</v>
      </c>
      <c r="DS92" s="370"/>
      <c r="DT92" s="370"/>
      <c r="DU92" s="370"/>
      <c r="DV92" s="370"/>
      <c r="DW92" s="370"/>
      <c r="DX92" s="370"/>
      <c r="DY92" s="370"/>
      <c r="DZ92" s="370"/>
      <c r="EA92" s="370"/>
      <c r="EB92" s="370"/>
      <c r="EC92" s="370"/>
      <c r="ED92" s="370"/>
      <c r="EE92" s="370"/>
      <c r="EF92" s="371"/>
      <c r="EG92" s="369">
        <f t="shared" si="5"/>
        <v>240200</v>
      </c>
      <c r="EH92" s="370"/>
      <c r="EI92" s="370"/>
      <c r="EJ92" s="370"/>
      <c r="EK92" s="370"/>
      <c r="EL92" s="370"/>
      <c r="EM92" s="370"/>
      <c r="EN92" s="370"/>
      <c r="EO92" s="370"/>
      <c r="EP92" s="370"/>
      <c r="EQ92" s="370"/>
      <c r="ER92" s="370"/>
      <c r="ES92" s="370"/>
      <c r="ET92" s="370"/>
      <c r="EU92" s="371"/>
      <c r="EV92" s="369">
        <f t="shared" si="8"/>
        <v>0</v>
      </c>
      <c r="EW92" s="370"/>
      <c r="EX92" s="370"/>
      <c r="EY92" s="370"/>
      <c r="EZ92" s="370"/>
      <c r="FA92" s="370"/>
      <c r="FB92" s="370"/>
      <c r="FC92" s="370"/>
      <c r="FD92" s="370"/>
      <c r="FE92" s="370"/>
      <c r="FF92" s="370"/>
      <c r="FG92" s="370"/>
      <c r="FH92" s="370"/>
      <c r="FI92" s="370"/>
      <c r="FJ92" s="427"/>
    </row>
    <row r="93" spans="1:189" s="47" customFormat="1" ht="66.75" customHeight="1">
      <c r="A93" s="224" t="s">
        <v>148</v>
      </c>
      <c r="B93" s="224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2"/>
      <c r="AO93" s="222"/>
      <c r="AP93" s="222"/>
      <c r="AQ93" s="222"/>
      <c r="AR93" s="222"/>
      <c r="AS93" s="373"/>
      <c r="AT93" s="316" t="s">
        <v>147</v>
      </c>
      <c r="AU93" s="316"/>
      <c r="AV93" s="316"/>
      <c r="AW93" s="316"/>
      <c r="AX93" s="316"/>
      <c r="AY93" s="316"/>
      <c r="AZ93" s="316"/>
      <c r="BA93" s="316"/>
      <c r="BB93" s="316"/>
      <c r="BC93" s="316"/>
      <c r="BD93" s="316"/>
      <c r="BE93" s="316"/>
      <c r="BF93" s="316"/>
      <c r="BG93" s="316"/>
      <c r="BH93" s="316"/>
      <c r="BI93" s="316"/>
      <c r="BJ93" s="316"/>
      <c r="BK93" s="316"/>
      <c r="BL93" s="316"/>
      <c r="BM93" s="316"/>
      <c r="BN93" s="316"/>
      <c r="BO93" s="316"/>
      <c r="BP93" s="316"/>
      <c r="BQ93" s="316"/>
      <c r="BR93" s="176">
        <v>240200</v>
      </c>
      <c r="BS93" s="191"/>
      <c r="BT93" s="191"/>
      <c r="BU93" s="191"/>
      <c r="BV93" s="191"/>
      <c r="BW93" s="191"/>
      <c r="BX93" s="191"/>
      <c r="BY93" s="191"/>
      <c r="BZ93" s="191"/>
      <c r="CA93" s="191"/>
      <c r="CB93" s="191"/>
      <c r="CC93" s="191"/>
      <c r="CD93" s="191"/>
      <c r="CE93" s="191"/>
      <c r="CF93" s="191"/>
      <c r="CG93" s="191"/>
      <c r="CH93" s="191"/>
      <c r="CI93" s="191"/>
      <c r="CJ93" s="191"/>
      <c r="CK93" s="191"/>
      <c r="CL93" s="191"/>
      <c r="CM93" s="191">
        <f>191889.9+48310.1</f>
        <v>240200</v>
      </c>
      <c r="CN93" s="191"/>
      <c r="CO93" s="191"/>
      <c r="CP93" s="191"/>
      <c r="CQ93" s="191"/>
      <c r="CR93" s="191"/>
      <c r="CS93" s="191"/>
      <c r="CT93" s="191"/>
      <c r="CU93" s="191"/>
      <c r="CV93" s="191"/>
      <c r="CW93" s="191"/>
      <c r="CX93" s="191"/>
      <c r="CY93" s="191"/>
      <c r="CZ93" s="191"/>
      <c r="DA93" s="191"/>
      <c r="DB93" s="191"/>
      <c r="DC93" s="191">
        <v>0</v>
      </c>
      <c r="DD93" s="191"/>
      <c r="DE93" s="191"/>
      <c r="DF93" s="191"/>
      <c r="DG93" s="191"/>
      <c r="DH93" s="191"/>
      <c r="DI93" s="191"/>
      <c r="DJ93" s="191"/>
      <c r="DK93" s="191"/>
      <c r="DL93" s="191"/>
      <c r="DM93" s="191"/>
      <c r="DN93" s="191"/>
      <c r="DO93" s="191"/>
      <c r="DP93" s="191"/>
      <c r="DQ93" s="191"/>
      <c r="DR93" s="191">
        <v>0</v>
      </c>
      <c r="DS93" s="191"/>
      <c r="DT93" s="191"/>
      <c r="DU93" s="191"/>
      <c r="DV93" s="191"/>
      <c r="DW93" s="191"/>
      <c r="DX93" s="191"/>
      <c r="DY93" s="191"/>
      <c r="DZ93" s="191"/>
      <c r="EA93" s="191"/>
      <c r="EB93" s="191"/>
      <c r="EC93" s="191"/>
      <c r="ED93" s="191"/>
      <c r="EE93" s="191"/>
      <c r="EF93" s="191"/>
      <c r="EG93" s="191">
        <f t="shared" si="5"/>
        <v>240200</v>
      </c>
      <c r="EH93" s="191"/>
      <c r="EI93" s="191"/>
      <c r="EJ93" s="191"/>
      <c r="EK93" s="191"/>
      <c r="EL93" s="191"/>
      <c r="EM93" s="191"/>
      <c r="EN93" s="191"/>
      <c r="EO93" s="191"/>
      <c r="EP93" s="191"/>
      <c r="EQ93" s="191"/>
      <c r="ER93" s="191"/>
      <c r="ES93" s="191"/>
      <c r="ET93" s="191"/>
      <c r="EU93" s="191"/>
      <c r="EV93" s="220">
        <f t="shared" si="8"/>
        <v>0</v>
      </c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</row>
    <row r="94" spans="1:189" s="47" customFormat="1" ht="51" customHeight="1" thickBot="1">
      <c r="A94" s="380" t="s">
        <v>146</v>
      </c>
      <c r="B94" s="380"/>
      <c r="C94" s="380"/>
      <c r="D94" s="380"/>
      <c r="E94" s="380"/>
      <c r="F94" s="380"/>
      <c r="G94" s="380"/>
      <c r="H94" s="380"/>
      <c r="I94" s="380"/>
      <c r="J94" s="380"/>
      <c r="K94" s="380"/>
      <c r="L94" s="380"/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380"/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380"/>
      <c r="AL94" s="380"/>
      <c r="AM94" s="381"/>
      <c r="AN94" s="382"/>
      <c r="AO94" s="383"/>
      <c r="AP94" s="383"/>
      <c r="AQ94" s="383"/>
      <c r="AR94" s="383"/>
      <c r="AS94" s="383"/>
      <c r="AT94" s="316" t="s">
        <v>145</v>
      </c>
      <c r="AU94" s="316"/>
      <c r="AV94" s="316"/>
      <c r="AW94" s="316"/>
      <c r="AX94" s="316"/>
      <c r="AY94" s="316"/>
      <c r="AZ94" s="316"/>
      <c r="BA94" s="316"/>
      <c r="BB94" s="316"/>
      <c r="BC94" s="316"/>
      <c r="BD94" s="316"/>
      <c r="BE94" s="316"/>
      <c r="BF94" s="316"/>
      <c r="BG94" s="316"/>
      <c r="BH94" s="316"/>
      <c r="BI94" s="316"/>
      <c r="BJ94" s="316"/>
      <c r="BK94" s="316"/>
      <c r="BL94" s="316"/>
      <c r="BM94" s="316"/>
      <c r="BN94" s="316"/>
      <c r="BO94" s="316"/>
      <c r="BP94" s="316"/>
      <c r="BQ94" s="316"/>
      <c r="BR94" s="384">
        <f>BR95</f>
        <v>200</v>
      </c>
      <c r="BS94" s="384"/>
      <c r="BT94" s="384"/>
      <c r="BU94" s="384"/>
      <c r="BV94" s="384"/>
      <c r="BW94" s="384"/>
      <c r="BX94" s="384"/>
      <c r="BY94" s="384"/>
      <c r="BZ94" s="384"/>
      <c r="CA94" s="384"/>
      <c r="CB94" s="384"/>
      <c r="CC94" s="384"/>
      <c r="CD94" s="384"/>
      <c r="CE94" s="384"/>
      <c r="CF94" s="384"/>
      <c r="CG94" s="384"/>
      <c r="CH94" s="384"/>
      <c r="CI94" s="384"/>
      <c r="CJ94" s="384"/>
      <c r="CK94" s="384"/>
      <c r="CL94" s="385"/>
      <c r="CM94" s="387">
        <f>CM95</f>
        <v>200</v>
      </c>
      <c r="CN94" s="384"/>
      <c r="CO94" s="384"/>
      <c r="CP94" s="384"/>
      <c r="CQ94" s="384"/>
      <c r="CR94" s="384"/>
      <c r="CS94" s="384"/>
      <c r="CT94" s="384"/>
      <c r="CU94" s="384"/>
      <c r="CV94" s="384"/>
      <c r="CW94" s="384"/>
      <c r="CX94" s="384"/>
      <c r="CY94" s="384"/>
      <c r="CZ94" s="384"/>
      <c r="DA94" s="384"/>
      <c r="DB94" s="385"/>
      <c r="DC94" s="387">
        <v>0</v>
      </c>
      <c r="DD94" s="384"/>
      <c r="DE94" s="384"/>
      <c r="DF94" s="384"/>
      <c r="DG94" s="384"/>
      <c r="DH94" s="384"/>
      <c r="DI94" s="384"/>
      <c r="DJ94" s="384"/>
      <c r="DK94" s="384"/>
      <c r="DL94" s="384"/>
      <c r="DM94" s="384"/>
      <c r="DN94" s="384"/>
      <c r="DO94" s="384"/>
      <c r="DP94" s="384"/>
      <c r="DQ94" s="385"/>
      <c r="DR94" s="387">
        <v>0</v>
      </c>
      <c r="DS94" s="384"/>
      <c r="DT94" s="384"/>
      <c r="DU94" s="384"/>
      <c r="DV94" s="384"/>
      <c r="DW94" s="384"/>
      <c r="DX94" s="384"/>
      <c r="DY94" s="384"/>
      <c r="DZ94" s="384"/>
      <c r="EA94" s="384"/>
      <c r="EB94" s="384"/>
      <c r="EC94" s="384"/>
      <c r="ED94" s="384"/>
      <c r="EE94" s="384"/>
      <c r="EF94" s="385"/>
      <c r="EG94" s="387">
        <f t="shared" si="5"/>
        <v>200</v>
      </c>
      <c r="EH94" s="384"/>
      <c r="EI94" s="384"/>
      <c r="EJ94" s="384"/>
      <c r="EK94" s="384"/>
      <c r="EL94" s="384"/>
      <c r="EM94" s="384"/>
      <c r="EN94" s="384"/>
      <c r="EO94" s="384"/>
      <c r="EP94" s="384"/>
      <c r="EQ94" s="384"/>
      <c r="ER94" s="384"/>
      <c r="ES94" s="384"/>
      <c r="ET94" s="384"/>
      <c r="EU94" s="385"/>
      <c r="EV94" s="387">
        <f t="shared" si="8"/>
        <v>0</v>
      </c>
      <c r="EW94" s="384"/>
      <c r="EX94" s="384"/>
      <c r="EY94" s="384"/>
      <c r="EZ94" s="384"/>
      <c r="FA94" s="384"/>
      <c r="FB94" s="384"/>
      <c r="FC94" s="384"/>
      <c r="FD94" s="384"/>
      <c r="FE94" s="384"/>
      <c r="FF94" s="384"/>
      <c r="FG94" s="384"/>
      <c r="FH94" s="384"/>
      <c r="FI94" s="384"/>
      <c r="FJ94" s="426"/>
    </row>
    <row r="95" spans="1:189" s="47" customFormat="1" ht="51.75" customHeight="1" thickBot="1">
      <c r="A95" s="380" t="s">
        <v>27</v>
      </c>
      <c r="B95" s="380"/>
      <c r="C95" s="380"/>
      <c r="D95" s="380"/>
      <c r="E95" s="380"/>
      <c r="F95" s="380"/>
      <c r="G95" s="380"/>
      <c r="H95" s="380"/>
      <c r="I95" s="380"/>
      <c r="J95" s="380"/>
      <c r="K95" s="380"/>
      <c r="L95" s="380"/>
      <c r="M95" s="380"/>
      <c r="N95" s="380"/>
      <c r="O95" s="380"/>
      <c r="P95" s="380"/>
      <c r="Q95" s="380"/>
      <c r="R95" s="380"/>
      <c r="S95" s="380"/>
      <c r="T95" s="380"/>
      <c r="U95" s="380"/>
      <c r="V95" s="380"/>
      <c r="W95" s="380"/>
      <c r="X95" s="380"/>
      <c r="Y95" s="380"/>
      <c r="Z95" s="380"/>
      <c r="AA95" s="380"/>
      <c r="AB95" s="380"/>
      <c r="AC95" s="380"/>
      <c r="AD95" s="380"/>
      <c r="AE95" s="380"/>
      <c r="AF95" s="380"/>
      <c r="AG95" s="380"/>
      <c r="AH95" s="380"/>
      <c r="AI95" s="380"/>
      <c r="AJ95" s="380"/>
      <c r="AK95" s="380"/>
      <c r="AL95" s="380"/>
      <c r="AM95" s="381"/>
      <c r="AN95" s="373"/>
      <c r="AO95" s="374"/>
      <c r="AP95" s="374"/>
      <c r="AQ95" s="374"/>
      <c r="AR95" s="374"/>
      <c r="AS95" s="374"/>
      <c r="AT95" s="375" t="s">
        <v>144</v>
      </c>
      <c r="AU95" s="375"/>
      <c r="AV95" s="375"/>
      <c r="AW95" s="375"/>
      <c r="AX95" s="375"/>
      <c r="AY95" s="375"/>
      <c r="AZ95" s="375"/>
      <c r="BA95" s="375"/>
      <c r="BB95" s="375"/>
      <c r="BC95" s="375"/>
      <c r="BD95" s="375"/>
      <c r="BE95" s="375"/>
      <c r="BF95" s="375"/>
      <c r="BG95" s="375"/>
      <c r="BH95" s="375"/>
      <c r="BI95" s="375"/>
      <c r="BJ95" s="375"/>
      <c r="BK95" s="375"/>
      <c r="BL95" s="375"/>
      <c r="BM95" s="375"/>
      <c r="BN95" s="375"/>
      <c r="BO95" s="375"/>
      <c r="BP95" s="375"/>
      <c r="BQ95" s="375"/>
      <c r="BR95" s="175">
        <v>200</v>
      </c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  <c r="CH95" s="175"/>
      <c r="CI95" s="175"/>
      <c r="CJ95" s="175"/>
      <c r="CK95" s="175"/>
      <c r="CL95" s="176"/>
      <c r="CM95" s="174">
        <v>200</v>
      </c>
      <c r="CN95" s="175"/>
      <c r="CO95" s="175"/>
      <c r="CP95" s="175"/>
      <c r="CQ95" s="175"/>
      <c r="CR95" s="175"/>
      <c r="CS95" s="175"/>
      <c r="CT95" s="175"/>
      <c r="CU95" s="175"/>
      <c r="CV95" s="175"/>
      <c r="CW95" s="175"/>
      <c r="CX95" s="175"/>
      <c r="CY95" s="175"/>
      <c r="CZ95" s="175"/>
      <c r="DA95" s="175"/>
      <c r="DB95" s="176"/>
      <c r="DC95" s="174">
        <v>0</v>
      </c>
      <c r="DD95" s="175"/>
      <c r="DE95" s="175"/>
      <c r="DF95" s="175"/>
      <c r="DG95" s="175"/>
      <c r="DH95" s="175"/>
      <c r="DI95" s="175"/>
      <c r="DJ95" s="175"/>
      <c r="DK95" s="175"/>
      <c r="DL95" s="175"/>
      <c r="DM95" s="175"/>
      <c r="DN95" s="175"/>
      <c r="DO95" s="175"/>
      <c r="DP95" s="175"/>
      <c r="DQ95" s="176"/>
      <c r="DR95" s="174">
        <v>0</v>
      </c>
      <c r="DS95" s="175"/>
      <c r="DT95" s="175"/>
      <c r="DU95" s="175"/>
      <c r="DV95" s="175"/>
      <c r="DW95" s="175"/>
      <c r="DX95" s="175"/>
      <c r="DY95" s="175"/>
      <c r="DZ95" s="175"/>
      <c r="EA95" s="175"/>
      <c r="EB95" s="175"/>
      <c r="EC95" s="175"/>
      <c r="ED95" s="175"/>
      <c r="EE95" s="175"/>
      <c r="EF95" s="176"/>
      <c r="EG95" s="174">
        <f t="shared" si="5"/>
        <v>200</v>
      </c>
      <c r="EH95" s="175"/>
      <c r="EI95" s="175"/>
      <c r="EJ95" s="175"/>
      <c r="EK95" s="175"/>
      <c r="EL95" s="175"/>
      <c r="EM95" s="175"/>
      <c r="EN95" s="175"/>
      <c r="EO95" s="175"/>
      <c r="EP95" s="175"/>
      <c r="EQ95" s="175"/>
      <c r="ER95" s="175"/>
      <c r="ES95" s="175"/>
      <c r="ET95" s="175"/>
      <c r="EU95" s="176"/>
      <c r="EV95" s="174">
        <f t="shared" si="8"/>
        <v>0</v>
      </c>
      <c r="EW95" s="175"/>
      <c r="EX95" s="175"/>
      <c r="EY95" s="175"/>
      <c r="EZ95" s="175"/>
      <c r="FA95" s="175"/>
      <c r="FB95" s="175"/>
      <c r="FC95" s="175"/>
      <c r="FD95" s="175"/>
      <c r="FE95" s="175"/>
      <c r="FF95" s="175"/>
      <c r="FG95" s="175"/>
      <c r="FH95" s="175"/>
      <c r="FI95" s="175"/>
      <c r="FJ95" s="177"/>
    </row>
    <row r="96" spans="1:189" s="47" customFormat="1" ht="22.5" customHeight="1">
      <c r="A96" s="224" t="s">
        <v>143</v>
      </c>
      <c r="B96" s="224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5"/>
      <c r="AO96" s="225"/>
      <c r="AP96" s="225"/>
      <c r="AQ96" s="225"/>
      <c r="AR96" s="225"/>
      <c r="AS96" s="225"/>
      <c r="AT96" s="226" t="s">
        <v>142</v>
      </c>
      <c r="AU96" s="226"/>
      <c r="AV96" s="226"/>
      <c r="AW96" s="226"/>
      <c r="AX96" s="226"/>
      <c r="AY96" s="226"/>
      <c r="AZ96" s="226"/>
      <c r="BA96" s="226"/>
      <c r="BB96" s="226"/>
      <c r="BC96" s="226"/>
      <c r="BD96" s="226"/>
      <c r="BE96" s="226"/>
      <c r="BF96" s="226"/>
      <c r="BG96" s="226"/>
      <c r="BH96" s="226"/>
      <c r="BI96" s="226"/>
      <c r="BJ96" s="226"/>
      <c r="BK96" s="226"/>
      <c r="BL96" s="226"/>
      <c r="BM96" s="226"/>
      <c r="BN96" s="226"/>
      <c r="BO96" s="226"/>
      <c r="BP96" s="226"/>
      <c r="BQ96" s="226"/>
      <c r="BR96" s="217">
        <f>BR97+BR99</f>
        <v>905400</v>
      </c>
      <c r="BS96" s="217"/>
      <c r="BT96" s="217"/>
      <c r="BU96" s="217"/>
      <c r="BV96" s="217"/>
      <c r="BW96" s="217"/>
      <c r="BX96" s="217"/>
      <c r="BY96" s="217"/>
      <c r="BZ96" s="217"/>
      <c r="CA96" s="217"/>
      <c r="CB96" s="217"/>
      <c r="CC96" s="217"/>
      <c r="CD96" s="217"/>
      <c r="CE96" s="217"/>
      <c r="CF96" s="217"/>
      <c r="CG96" s="217"/>
      <c r="CH96" s="217"/>
      <c r="CI96" s="217"/>
      <c r="CJ96" s="217"/>
      <c r="CK96" s="217"/>
      <c r="CL96" s="217"/>
      <c r="CM96" s="217">
        <f>CM97+CM99</f>
        <v>902000</v>
      </c>
      <c r="CN96" s="217"/>
      <c r="CO96" s="217"/>
      <c r="CP96" s="217"/>
      <c r="CQ96" s="217"/>
      <c r="CR96" s="217"/>
      <c r="CS96" s="217"/>
      <c r="CT96" s="217"/>
      <c r="CU96" s="217"/>
      <c r="CV96" s="217"/>
      <c r="CW96" s="217"/>
      <c r="CX96" s="217"/>
      <c r="CY96" s="217"/>
      <c r="CZ96" s="217"/>
      <c r="DA96" s="217"/>
      <c r="DB96" s="217"/>
      <c r="DC96" s="191">
        <v>0</v>
      </c>
      <c r="DD96" s="191"/>
      <c r="DE96" s="191"/>
      <c r="DF96" s="191"/>
      <c r="DG96" s="191"/>
      <c r="DH96" s="191"/>
      <c r="DI96" s="191"/>
      <c r="DJ96" s="191"/>
      <c r="DK96" s="191"/>
      <c r="DL96" s="191"/>
      <c r="DM96" s="191"/>
      <c r="DN96" s="191"/>
      <c r="DO96" s="191"/>
      <c r="DP96" s="191"/>
      <c r="DQ96" s="191"/>
      <c r="DR96" s="191">
        <v>0</v>
      </c>
      <c r="DS96" s="191"/>
      <c r="DT96" s="191"/>
      <c r="DU96" s="191"/>
      <c r="DV96" s="191"/>
      <c r="DW96" s="191"/>
      <c r="DX96" s="191"/>
      <c r="DY96" s="191"/>
      <c r="DZ96" s="191"/>
      <c r="EA96" s="191"/>
      <c r="EB96" s="191"/>
      <c r="EC96" s="191"/>
      <c r="ED96" s="191"/>
      <c r="EE96" s="191"/>
      <c r="EF96" s="191"/>
      <c r="EG96" s="217">
        <f t="shared" si="5"/>
        <v>902000</v>
      </c>
      <c r="EH96" s="217"/>
      <c r="EI96" s="217"/>
      <c r="EJ96" s="217"/>
      <c r="EK96" s="217"/>
      <c r="EL96" s="217"/>
      <c r="EM96" s="217"/>
      <c r="EN96" s="217"/>
      <c r="EO96" s="217"/>
      <c r="EP96" s="217"/>
      <c r="EQ96" s="217"/>
      <c r="ER96" s="217"/>
      <c r="ES96" s="217"/>
      <c r="ET96" s="217"/>
      <c r="EU96" s="217"/>
      <c r="EV96" s="390">
        <f t="shared" si="8"/>
        <v>3400</v>
      </c>
      <c r="EW96" s="390"/>
      <c r="EX96" s="390"/>
      <c r="EY96" s="390"/>
      <c r="EZ96" s="390"/>
      <c r="FA96" s="390"/>
      <c r="FB96" s="390"/>
      <c r="FC96" s="390"/>
      <c r="FD96" s="390"/>
      <c r="FE96" s="390"/>
      <c r="FF96" s="390"/>
      <c r="FG96" s="390"/>
      <c r="FH96" s="390"/>
      <c r="FI96" s="390"/>
      <c r="FJ96" s="390"/>
    </row>
    <row r="97" spans="1:189" s="47" customFormat="1" ht="28.5" customHeight="1">
      <c r="A97" s="221" t="s">
        <v>141</v>
      </c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2"/>
      <c r="AO97" s="222"/>
      <c r="AP97" s="222"/>
      <c r="AQ97" s="222"/>
      <c r="AR97" s="222"/>
      <c r="AS97" s="222"/>
      <c r="AT97" s="190" t="s">
        <v>139</v>
      </c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0"/>
      <c r="BN97" s="190"/>
      <c r="BO97" s="190"/>
      <c r="BP97" s="190"/>
      <c r="BQ97" s="190"/>
      <c r="BR97" s="191">
        <f>BR98</f>
        <v>568700</v>
      </c>
      <c r="BS97" s="191"/>
      <c r="BT97" s="191"/>
      <c r="BU97" s="191"/>
      <c r="BV97" s="191"/>
      <c r="BW97" s="191"/>
      <c r="BX97" s="191"/>
      <c r="BY97" s="191"/>
      <c r="BZ97" s="191"/>
      <c r="CA97" s="191"/>
      <c r="CB97" s="191"/>
      <c r="CC97" s="191"/>
      <c r="CD97" s="191"/>
      <c r="CE97" s="191"/>
      <c r="CF97" s="191"/>
      <c r="CG97" s="191"/>
      <c r="CH97" s="191"/>
      <c r="CI97" s="191"/>
      <c r="CJ97" s="191"/>
      <c r="CK97" s="191"/>
      <c r="CL97" s="191"/>
      <c r="CM97" s="191">
        <f>CM98</f>
        <v>568700</v>
      </c>
      <c r="CN97" s="191"/>
      <c r="CO97" s="191"/>
      <c r="CP97" s="191"/>
      <c r="CQ97" s="191"/>
      <c r="CR97" s="191"/>
      <c r="CS97" s="191"/>
      <c r="CT97" s="191"/>
      <c r="CU97" s="191"/>
      <c r="CV97" s="191"/>
      <c r="CW97" s="191"/>
      <c r="CX97" s="191"/>
      <c r="CY97" s="191"/>
      <c r="CZ97" s="191"/>
      <c r="DA97" s="191"/>
      <c r="DB97" s="191"/>
      <c r="DC97" s="191">
        <v>0</v>
      </c>
      <c r="DD97" s="191"/>
      <c r="DE97" s="191"/>
      <c r="DF97" s="191"/>
      <c r="DG97" s="191"/>
      <c r="DH97" s="191"/>
      <c r="DI97" s="191"/>
      <c r="DJ97" s="191"/>
      <c r="DK97" s="191"/>
      <c r="DL97" s="191"/>
      <c r="DM97" s="191"/>
      <c r="DN97" s="191"/>
      <c r="DO97" s="191"/>
      <c r="DP97" s="191"/>
      <c r="DQ97" s="191"/>
      <c r="DR97" s="191">
        <v>0</v>
      </c>
      <c r="DS97" s="191"/>
      <c r="DT97" s="191"/>
      <c r="DU97" s="191"/>
      <c r="DV97" s="191"/>
      <c r="DW97" s="191"/>
      <c r="DX97" s="191"/>
      <c r="DY97" s="191"/>
      <c r="DZ97" s="191"/>
      <c r="EA97" s="191"/>
      <c r="EB97" s="191"/>
      <c r="EC97" s="191"/>
      <c r="ED97" s="191"/>
      <c r="EE97" s="191"/>
      <c r="EF97" s="191"/>
      <c r="EG97" s="191">
        <f t="shared" si="5"/>
        <v>568700</v>
      </c>
      <c r="EH97" s="191"/>
      <c r="EI97" s="191"/>
      <c r="EJ97" s="191"/>
      <c r="EK97" s="191"/>
      <c r="EL97" s="191"/>
      <c r="EM97" s="191"/>
      <c r="EN97" s="191"/>
      <c r="EO97" s="191"/>
      <c r="EP97" s="191"/>
      <c r="EQ97" s="191"/>
      <c r="ER97" s="191"/>
      <c r="ES97" s="191"/>
      <c r="ET97" s="191"/>
      <c r="EU97" s="191"/>
      <c r="EV97" s="220">
        <f t="shared" si="8"/>
        <v>0</v>
      </c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</row>
    <row r="98" spans="1:189" s="47" customFormat="1" ht="78" customHeight="1">
      <c r="A98" s="221" t="s">
        <v>140</v>
      </c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2"/>
      <c r="AO98" s="222"/>
      <c r="AP98" s="222"/>
      <c r="AQ98" s="222"/>
      <c r="AR98" s="222"/>
      <c r="AS98" s="222"/>
      <c r="AT98" s="190" t="s">
        <v>139</v>
      </c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190"/>
      <c r="BG98" s="190"/>
      <c r="BH98" s="190"/>
      <c r="BI98" s="190"/>
      <c r="BJ98" s="190"/>
      <c r="BK98" s="190"/>
      <c r="BL98" s="190"/>
      <c r="BM98" s="190"/>
      <c r="BN98" s="190"/>
      <c r="BO98" s="190"/>
      <c r="BP98" s="190"/>
      <c r="BQ98" s="190"/>
      <c r="BR98" s="191">
        <v>568700</v>
      </c>
      <c r="BS98" s="191"/>
      <c r="BT98" s="191"/>
      <c r="BU98" s="191"/>
      <c r="BV98" s="191"/>
      <c r="BW98" s="191"/>
      <c r="BX98" s="191"/>
      <c r="BY98" s="191"/>
      <c r="BZ98" s="191"/>
      <c r="CA98" s="191"/>
      <c r="CB98" s="191"/>
      <c r="CC98" s="191"/>
      <c r="CD98" s="191"/>
      <c r="CE98" s="191"/>
      <c r="CF98" s="191"/>
      <c r="CG98" s="191"/>
      <c r="CH98" s="191"/>
      <c r="CI98" s="191"/>
      <c r="CJ98" s="191"/>
      <c r="CK98" s="191"/>
      <c r="CL98" s="191"/>
      <c r="CM98" s="191">
        <f>284350+155600+128750</f>
        <v>568700</v>
      </c>
      <c r="CN98" s="191"/>
      <c r="CO98" s="191"/>
      <c r="CP98" s="191"/>
      <c r="CQ98" s="191"/>
      <c r="CR98" s="191"/>
      <c r="CS98" s="191"/>
      <c r="CT98" s="191"/>
      <c r="CU98" s="191"/>
      <c r="CV98" s="191"/>
      <c r="CW98" s="191"/>
      <c r="CX98" s="191"/>
      <c r="CY98" s="191"/>
      <c r="CZ98" s="191"/>
      <c r="DA98" s="191"/>
      <c r="DB98" s="191"/>
      <c r="DC98" s="191">
        <v>0</v>
      </c>
      <c r="DD98" s="191"/>
      <c r="DE98" s="191"/>
      <c r="DF98" s="191"/>
      <c r="DG98" s="191"/>
      <c r="DH98" s="191"/>
      <c r="DI98" s="191"/>
      <c r="DJ98" s="191"/>
      <c r="DK98" s="191"/>
      <c r="DL98" s="191"/>
      <c r="DM98" s="191"/>
      <c r="DN98" s="191"/>
      <c r="DO98" s="191"/>
      <c r="DP98" s="191"/>
      <c r="DQ98" s="191"/>
      <c r="DR98" s="191">
        <v>0</v>
      </c>
      <c r="DS98" s="191"/>
      <c r="DT98" s="191"/>
      <c r="DU98" s="191"/>
      <c r="DV98" s="191"/>
      <c r="DW98" s="191"/>
      <c r="DX98" s="191"/>
      <c r="DY98" s="191"/>
      <c r="DZ98" s="191"/>
      <c r="EA98" s="191"/>
      <c r="EB98" s="191"/>
      <c r="EC98" s="191"/>
      <c r="ED98" s="191"/>
      <c r="EE98" s="191"/>
      <c r="EF98" s="191"/>
      <c r="EG98" s="191">
        <f t="shared" si="5"/>
        <v>568700</v>
      </c>
      <c r="EH98" s="191"/>
      <c r="EI98" s="191"/>
      <c r="EJ98" s="191"/>
      <c r="EK98" s="191"/>
      <c r="EL98" s="191"/>
      <c r="EM98" s="191"/>
      <c r="EN98" s="191"/>
      <c r="EO98" s="191"/>
      <c r="EP98" s="191"/>
      <c r="EQ98" s="191"/>
      <c r="ER98" s="191"/>
      <c r="ES98" s="191"/>
      <c r="ET98" s="191"/>
      <c r="EU98" s="191"/>
      <c r="EV98" s="220">
        <f t="shared" si="8"/>
        <v>0</v>
      </c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</row>
    <row r="99" spans="1:189" s="47" customFormat="1" ht="21.75" customHeight="1" thickBot="1">
      <c r="A99" s="221" t="s">
        <v>138</v>
      </c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2"/>
      <c r="AO99" s="222"/>
      <c r="AP99" s="222"/>
      <c r="AQ99" s="222"/>
      <c r="AR99" s="222"/>
      <c r="AS99" s="222"/>
      <c r="AT99" s="190" t="s">
        <v>137</v>
      </c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  <c r="BI99" s="190"/>
      <c r="BJ99" s="190"/>
      <c r="BK99" s="190"/>
      <c r="BL99" s="190"/>
      <c r="BM99" s="190"/>
      <c r="BN99" s="190"/>
      <c r="BO99" s="190"/>
      <c r="BP99" s="190"/>
      <c r="BQ99" s="190"/>
      <c r="BR99" s="191">
        <v>336700</v>
      </c>
      <c r="BS99" s="191"/>
      <c r="BT99" s="191"/>
      <c r="BU99" s="191"/>
      <c r="BV99" s="191"/>
      <c r="BW99" s="191"/>
      <c r="BX99" s="191"/>
      <c r="BY99" s="191"/>
      <c r="BZ99" s="191"/>
      <c r="CA99" s="191"/>
      <c r="CB99" s="191"/>
      <c r="CC99" s="191"/>
      <c r="CD99" s="191"/>
      <c r="CE99" s="191"/>
      <c r="CF99" s="191"/>
      <c r="CG99" s="191"/>
      <c r="CH99" s="191"/>
      <c r="CI99" s="191"/>
      <c r="CJ99" s="191"/>
      <c r="CK99" s="191"/>
      <c r="CL99" s="191"/>
      <c r="CM99" s="191">
        <v>333300</v>
      </c>
      <c r="CN99" s="191"/>
      <c r="CO99" s="191"/>
      <c r="CP99" s="191"/>
      <c r="CQ99" s="191"/>
      <c r="CR99" s="191"/>
      <c r="CS99" s="191"/>
      <c r="CT99" s="191"/>
      <c r="CU99" s="191"/>
      <c r="CV99" s="191"/>
      <c r="CW99" s="191"/>
      <c r="CX99" s="191"/>
      <c r="CY99" s="191"/>
      <c r="CZ99" s="191"/>
      <c r="DA99" s="191"/>
      <c r="DB99" s="191"/>
      <c r="DC99" s="191">
        <v>0</v>
      </c>
      <c r="DD99" s="191"/>
      <c r="DE99" s="191"/>
      <c r="DF99" s="191"/>
      <c r="DG99" s="191"/>
      <c r="DH99" s="191"/>
      <c r="DI99" s="191"/>
      <c r="DJ99" s="191"/>
      <c r="DK99" s="191"/>
      <c r="DL99" s="191"/>
      <c r="DM99" s="191"/>
      <c r="DN99" s="191"/>
      <c r="DO99" s="191"/>
      <c r="DP99" s="191"/>
      <c r="DQ99" s="191"/>
      <c r="DR99" s="191">
        <v>0</v>
      </c>
      <c r="DS99" s="191"/>
      <c r="DT99" s="191"/>
      <c r="DU99" s="191"/>
      <c r="DV99" s="191"/>
      <c r="DW99" s="191"/>
      <c r="DX99" s="191"/>
      <c r="DY99" s="191"/>
      <c r="DZ99" s="191"/>
      <c r="EA99" s="191"/>
      <c r="EB99" s="191"/>
      <c r="EC99" s="191"/>
      <c r="ED99" s="191"/>
      <c r="EE99" s="191"/>
      <c r="EF99" s="191"/>
      <c r="EG99" s="191">
        <f t="shared" si="5"/>
        <v>333300</v>
      </c>
      <c r="EH99" s="191"/>
      <c r="EI99" s="191"/>
      <c r="EJ99" s="191"/>
      <c r="EK99" s="191"/>
      <c r="EL99" s="191"/>
      <c r="EM99" s="191"/>
      <c r="EN99" s="191"/>
      <c r="EO99" s="191"/>
      <c r="EP99" s="191"/>
      <c r="EQ99" s="191"/>
      <c r="ER99" s="191"/>
      <c r="ES99" s="191"/>
      <c r="ET99" s="191"/>
      <c r="EU99" s="191"/>
      <c r="EV99" s="220">
        <f t="shared" si="8"/>
        <v>3400</v>
      </c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</row>
    <row r="100" spans="1:189" s="48" customFormat="1" ht="25.5" customHeight="1" thickBot="1">
      <c r="A100" s="391" t="s">
        <v>136</v>
      </c>
      <c r="B100" s="392"/>
      <c r="C100" s="392"/>
      <c r="D100" s="392"/>
      <c r="E100" s="392"/>
      <c r="F100" s="392"/>
      <c r="G100" s="392"/>
      <c r="H100" s="392"/>
      <c r="I100" s="392"/>
      <c r="J100" s="392"/>
      <c r="K100" s="392"/>
      <c r="L100" s="392"/>
      <c r="M100" s="392"/>
      <c r="N100" s="392"/>
      <c r="O100" s="392"/>
      <c r="P100" s="392"/>
      <c r="Q100" s="392"/>
      <c r="R100" s="392"/>
      <c r="S100" s="392"/>
      <c r="T100" s="392"/>
      <c r="U100" s="392"/>
      <c r="V100" s="392"/>
      <c r="W100" s="392"/>
      <c r="X100" s="392"/>
      <c r="Y100" s="392"/>
      <c r="Z100" s="392"/>
      <c r="AA100" s="392"/>
      <c r="AB100" s="392"/>
      <c r="AC100" s="392"/>
      <c r="AD100" s="392"/>
      <c r="AE100" s="392"/>
      <c r="AF100" s="392"/>
      <c r="AG100" s="392"/>
      <c r="AH100" s="392"/>
      <c r="AI100" s="392"/>
      <c r="AJ100" s="392"/>
      <c r="AK100" s="392"/>
      <c r="AL100" s="392"/>
      <c r="AM100" s="392"/>
      <c r="AN100" s="393"/>
      <c r="AO100" s="393"/>
      <c r="AP100" s="393"/>
      <c r="AQ100" s="393"/>
      <c r="AR100" s="393"/>
      <c r="AS100" s="393"/>
      <c r="AT100" s="394"/>
      <c r="AU100" s="394"/>
      <c r="AV100" s="394"/>
      <c r="AW100" s="394"/>
      <c r="AX100" s="394"/>
      <c r="AY100" s="394"/>
      <c r="AZ100" s="394"/>
      <c r="BA100" s="394"/>
      <c r="BB100" s="394"/>
      <c r="BC100" s="394"/>
      <c r="BD100" s="394"/>
      <c r="BE100" s="394"/>
      <c r="BF100" s="394"/>
      <c r="BG100" s="394"/>
      <c r="BH100" s="394"/>
      <c r="BI100" s="394"/>
      <c r="BJ100" s="394"/>
      <c r="BK100" s="394"/>
      <c r="BL100" s="394"/>
      <c r="BM100" s="394"/>
      <c r="BN100" s="394"/>
      <c r="BO100" s="394"/>
      <c r="BP100" s="394"/>
      <c r="BQ100" s="394"/>
      <c r="BR100" s="386">
        <f>BR86+BR17</f>
        <v>13468700</v>
      </c>
      <c r="BS100" s="386"/>
      <c r="BT100" s="386"/>
      <c r="BU100" s="386"/>
      <c r="BV100" s="386"/>
      <c r="BW100" s="386"/>
      <c r="BX100" s="386"/>
      <c r="BY100" s="386"/>
      <c r="BZ100" s="386"/>
      <c r="CA100" s="386"/>
      <c r="CB100" s="386"/>
      <c r="CC100" s="386"/>
      <c r="CD100" s="386"/>
      <c r="CE100" s="386"/>
      <c r="CF100" s="386"/>
      <c r="CG100" s="386"/>
      <c r="CH100" s="386"/>
      <c r="CI100" s="386"/>
      <c r="CJ100" s="386"/>
      <c r="CK100" s="386"/>
      <c r="CL100" s="386"/>
      <c r="CM100" s="386">
        <f>CM86+CM17</f>
        <v>14686096.73</v>
      </c>
      <c r="CN100" s="386"/>
      <c r="CO100" s="386"/>
      <c r="CP100" s="386"/>
      <c r="CQ100" s="386"/>
      <c r="CR100" s="386"/>
      <c r="CS100" s="386"/>
      <c r="CT100" s="386"/>
      <c r="CU100" s="386"/>
      <c r="CV100" s="386"/>
      <c r="CW100" s="386"/>
      <c r="CX100" s="386"/>
      <c r="CY100" s="386"/>
      <c r="CZ100" s="386"/>
      <c r="DA100" s="386"/>
      <c r="DB100" s="386"/>
      <c r="DC100" s="386">
        <v>0</v>
      </c>
      <c r="DD100" s="386"/>
      <c r="DE100" s="386"/>
      <c r="DF100" s="386"/>
      <c r="DG100" s="386"/>
      <c r="DH100" s="386"/>
      <c r="DI100" s="386"/>
      <c r="DJ100" s="386"/>
      <c r="DK100" s="386"/>
      <c r="DL100" s="386"/>
      <c r="DM100" s="386"/>
      <c r="DN100" s="386"/>
      <c r="DO100" s="386"/>
      <c r="DP100" s="386"/>
      <c r="DQ100" s="386"/>
      <c r="DR100" s="386">
        <v>0</v>
      </c>
      <c r="DS100" s="386"/>
      <c r="DT100" s="386"/>
      <c r="DU100" s="386"/>
      <c r="DV100" s="386"/>
      <c r="DW100" s="386"/>
      <c r="DX100" s="386"/>
      <c r="DY100" s="386"/>
      <c r="DZ100" s="386"/>
      <c r="EA100" s="386"/>
      <c r="EB100" s="386"/>
      <c r="EC100" s="386"/>
      <c r="ED100" s="386"/>
      <c r="EE100" s="386"/>
      <c r="EF100" s="386"/>
      <c r="EG100" s="386">
        <f t="shared" si="5"/>
        <v>14686096.73</v>
      </c>
      <c r="EH100" s="386"/>
      <c r="EI100" s="386"/>
      <c r="EJ100" s="386"/>
      <c r="EK100" s="386"/>
      <c r="EL100" s="386"/>
      <c r="EM100" s="386"/>
      <c r="EN100" s="386"/>
      <c r="EO100" s="386"/>
      <c r="EP100" s="386"/>
      <c r="EQ100" s="386"/>
      <c r="ER100" s="386"/>
      <c r="ES100" s="386"/>
      <c r="ET100" s="386"/>
      <c r="EU100" s="386"/>
      <c r="EV100" s="388">
        <f t="shared" si="8"/>
        <v>-1217396.7300000004</v>
      </c>
      <c r="EW100" s="388"/>
      <c r="EX100" s="388"/>
      <c r="EY100" s="388"/>
      <c r="EZ100" s="388"/>
      <c r="FA100" s="388"/>
      <c r="FB100" s="388"/>
      <c r="FC100" s="388"/>
      <c r="FD100" s="388"/>
      <c r="FE100" s="388"/>
      <c r="FF100" s="388"/>
      <c r="FG100" s="388"/>
      <c r="FH100" s="388"/>
      <c r="FI100" s="388"/>
      <c r="FJ100" s="38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</row>
    <row r="101" spans="1:189" s="47" customFormat="1" ht="12.75" hidden="1" customHeight="1">
      <c r="A101" s="397"/>
      <c r="B101" s="397"/>
      <c r="C101" s="397"/>
      <c r="D101" s="397"/>
      <c r="E101" s="397"/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  <c r="W101" s="397"/>
      <c r="X101" s="397"/>
      <c r="Y101" s="397"/>
      <c r="Z101" s="397"/>
      <c r="AA101" s="397"/>
      <c r="AB101" s="397"/>
      <c r="AC101" s="397"/>
      <c r="AD101" s="397"/>
      <c r="AE101" s="397"/>
      <c r="AF101" s="397"/>
      <c r="AG101" s="397"/>
      <c r="AH101" s="397"/>
      <c r="AI101" s="397"/>
      <c r="AJ101" s="397"/>
      <c r="AK101" s="397"/>
      <c r="AL101" s="397"/>
      <c r="AM101" s="397"/>
      <c r="AN101" s="398"/>
      <c r="AO101" s="398"/>
      <c r="AP101" s="398"/>
      <c r="AQ101" s="398"/>
      <c r="AR101" s="398"/>
      <c r="AS101" s="398"/>
      <c r="AT101" s="399"/>
      <c r="AU101" s="399"/>
      <c r="AV101" s="399"/>
      <c r="AW101" s="399"/>
      <c r="AX101" s="399"/>
      <c r="AY101" s="399"/>
      <c r="AZ101" s="399"/>
      <c r="BA101" s="399"/>
      <c r="BB101" s="399"/>
      <c r="BC101" s="399"/>
      <c r="BD101" s="399"/>
      <c r="BE101" s="399"/>
      <c r="BF101" s="399"/>
      <c r="BG101" s="399"/>
      <c r="BH101" s="399"/>
      <c r="BI101" s="399"/>
      <c r="BJ101" s="399"/>
      <c r="BK101" s="399"/>
      <c r="BL101" s="399"/>
      <c r="BM101" s="399"/>
      <c r="BN101" s="399"/>
      <c r="BO101" s="399"/>
      <c r="BP101" s="399"/>
      <c r="BQ101" s="399"/>
      <c r="BR101" s="400"/>
      <c r="BS101" s="400"/>
      <c r="BT101" s="400"/>
      <c r="BU101" s="400"/>
      <c r="BV101" s="400"/>
      <c r="BW101" s="400"/>
      <c r="BX101" s="400"/>
      <c r="BY101" s="400"/>
      <c r="BZ101" s="400"/>
      <c r="CA101" s="400"/>
      <c r="CB101" s="400"/>
      <c r="CC101" s="400"/>
      <c r="CD101" s="400"/>
      <c r="CE101" s="400"/>
      <c r="CF101" s="400"/>
      <c r="CG101" s="400"/>
      <c r="CH101" s="400"/>
      <c r="CI101" s="400"/>
      <c r="CJ101" s="400"/>
      <c r="CK101" s="400"/>
      <c r="CL101" s="400"/>
      <c r="CM101" s="401"/>
      <c r="CN101" s="401"/>
      <c r="CO101" s="401"/>
      <c r="CP101" s="401"/>
      <c r="CQ101" s="401"/>
      <c r="CR101" s="401"/>
      <c r="CS101" s="401"/>
      <c r="CT101" s="401"/>
      <c r="CU101" s="401"/>
      <c r="CV101" s="401"/>
      <c r="CW101" s="401"/>
      <c r="CX101" s="401"/>
      <c r="CY101" s="401"/>
      <c r="CZ101" s="401"/>
      <c r="DA101" s="401"/>
      <c r="DB101" s="401"/>
      <c r="DC101" s="401"/>
      <c r="DD101" s="401"/>
      <c r="DE101" s="401"/>
      <c r="DF101" s="401"/>
      <c r="DG101" s="401"/>
      <c r="DH101" s="401"/>
      <c r="DI101" s="401"/>
      <c r="DJ101" s="401"/>
      <c r="DK101" s="401"/>
      <c r="DL101" s="401"/>
      <c r="DM101" s="401"/>
      <c r="DN101" s="401"/>
      <c r="DO101" s="401"/>
      <c r="DP101" s="401"/>
      <c r="DQ101" s="401"/>
      <c r="DR101" s="401"/>
      <c r="DS101" s="401"/>
      <c r="DT101" s="401"/>
      <c r="DU101" s="401"/>
      <c r="DV101" s="401"/>
      <c r="DW101" s="401"/>
      <c r="DX101" s="401"/>
      <c r="DY101" s="401"/>
      <c r="DZ101" s="401"/>
      <c r="EA101" s="401"/>
      <c r="EB101" s="401"/>
      <c r="EC101" s="401"/>
      <c r="ED101" s="401"/>
      <c r="EE101" s="401"/>
      <c r="EF101" s="401"/>
      <c r="EG101" s="401"/>
      <c r="EH101" s="401"/>
      <c r="EI101" s="401"/>
      <c r="EJ101" s="401"/>
      <c r="EK101" s="401"/>
      <c r="EL101" s="401"/>
      <c r="EM101" s="401"/>
      <c r="EN101" s="401"/>
      <c r="EO101" s="401"/>
      <c r="EP101" s="401"/>
      <c r="EQ101" s="401"/>
      <c r="ER101" s="401"/>
      <c r="ES101" s="401"/>
      <c r="ET101" s="401"/>
      <c r="EU101" s="401"/>
      <c r="EV101" s="402"/>
      <c r="EW101" s="402"/>
      <c r="EX101" s="402"/>
      <c r="EY101" s="402"/>
      <c r="EZ101" s="402"/>
      <c r="FA101" s="402"/>
      <c r="FB101" s="402"/>
      <c r="FC101" s="402"/>
      <c r="FD101" s="402"/>
      <c r="FE101" s="402"/>
      <c r="FF101" s="402"/>
      <c r="FG101" s="402"/>
      <c r="FH101" s="402"/>
      <c r="FI101" s="402"/>
      <c r="FJ101" s="402"/>
    </row>
    <row r="102" spans="1:189" s="47" customFormat="1" ht="12.75" hidden="1" customHeight="1">
      <c r="A102" s="405"/>
      <c r="B102" s="405"/>
      <c r="C102" s="405"/>
      <c r="D102" s="405"/>
      <c r="E102" s="405"/>
      <c r="F102" s="405"/>
      <c r="G102" s="405"/>
      <c r="H102" s="405"/>
      <c r="I102" s="405"/>
      <c r="J102" s="405"/>
      <c r="K102" s="405"/>
      <c r="L102" s="405"/>
      <c r="M102" s="405"/>
      <c r="N102" s="405"/>
      <c r="O102" s="405"/>
      <c r="P102" s="405"/>
      <c r="Q102" s="405"/>
      <c r="R102" s="405"/>
      <c r="S102" s="405"/>
      <c r="T102" s="405"/>
      <c r="U102" s="405"/>
      <c r="V102" s="405"/>
      <c r="W102" s="405"/>
      <c r="X102" s="405"/>
      <c r="Y102" s="405"/>
      <c r="Z102" s="405"/>
      <c r="AA102" s="405"/>
      <c r="AB102" s="405"/>
      <c r="AC102" s="405"/>
      <c r="AD102" s="405"/>
      <c r="AE102" s="405"/>
      <c r="AF102" s="405"/>
      <c r="AG102" s="405"/>
      <c r="AH102" s="405"/>
      <c r="AI102" s="405"/>
      <c r="AJ102" s="405"/>
      <c r="AK102" s="405"/>
      <c r="AL102" s="405"/>
      <c r="AM102" s="405"/>
      <c r="AN102" s="404"/>
      <c r="AO102" s="404"/>
      <c r="AP102" s="404"/>
      <c r="AQ102" s="404"/>
      <c r="AR102" s="404"/>
      <c r="AS102" s="404"/>
      <c r="AT102" s="403"/>
      <c r="AU102" s="403"/>
      <c r="AV102" s="403"/>
      <c r="AW102" s="403"/>
      <c r="AX102" s="403"/>
      <c r="AY102" s="403"/>
      <c r="AZ102" s="403"/>
      <c r="BA102" s="403"/>
      <c r="BB102" s="403"/>
      <c r="BC102" s="403"/>
      <c r="BD102" s="403"/>
      <c r="BE102" s="403"/>
      <c r="BF102" s="403"/>
      <c r="BG102" s="403"/>
      <c r="BH102" s="403"/>
      <c r="BI102" s="403"/>
      <c r="BJ102" s="403"/>
      <c r="BK102" s="403"/>
      <c r="BL102" s="403"/>
      <c r="BM102" s="403"/>
      <c r="BN102" s="403"/>
      <c r="BO102" s="403"/>
      <c r="BP102" s="403"/>
      <c r="BQ102" s="403"/>
      <c r="BR102" s="396"/>
      <c r="BS102" s="396"/>
      <c r="BT102" s="396"/>
      <c r="BU102" s="396"/>
      <c r="BV102" s="396"/>
      <c r="BW102" s="396"/>
      <c r="BX102" s="396"/>
      <c r="BY102" s="396"/>
      <c r="BZ102" s="396"/>
      <c r="CA102" s="396"/>
      <c r="CB102" s="396"/>
      <c r="CC102" s="396"/>
      <c r="CD102" s="396"/>
      <c r="CE102" s="396"/>
      <c r="CF102" s="396"/>
      <c r="CG102" s="396"/>
      <c r="CH102" s="396"/>
      <c r="CI102" s="396"/>
      <c r="CJ102" s="396"/>
      <c r="CK102" s="396"/>
      <c r="CL102" s="396"/>
      <c r="CM102" s="396"/>
      <c r="CN102" s="396"/>
      <c r="CO102" s="396"/>
      <c r="CP102" s="396"/>
      <c r="CQ102" s="396"/>
      <c r="CR102" s="396"/>
      <c r="CS102" s="396"/>
      <c r="CT102" s="396"/>
      <c r="CU102" s="396"/>
      <c r="CV102" s="396"/>
      <c r="CW102" s="396"/>
      <c r="CX102" s="396"/>
      <c r="CY102" s="396"/>
      <c r="CZ102" s="396"/>
      <c r="DA102" s="396"/>
      <c r="DB102" s="396"/>
      <c r="DC102" s="396"/>
      <c r="DD102" s="396"/>
      <c r="DE102" s="396"/>
      <c r="DF102" s="396"/>
      <c r="DG102" s="396"/>
      <c r="DH102" s="396"/>
      <c r="DI102" s="396"/>
      <c r="DJ102" s="396"/>
      <c r="DK102" s="396"/>
      <c r="DL102" s="396"/>
      <c r="DM102" s="396"/>
      <c r="DN102" s="396"/>
      <c r="DO102" s="396"/>
      <c r="DP102" s="396"/>
      <c r="DQ102" s="396"/>
      <c r="DR102" s="396"/>
      <c r="DS102" s="396"/>
      <c r="DT102" s="396"/>
      <c r="DU102" s="396"/>
      <c r="DV102" s="396"/>
      <c r="DW102" s="396"/>
      <c r="DX102" s="396"/>
      <c r="DY102" s="396"/>
      <c r="DZ102" s="396"/>
      <c r="EA102" s="396"/>
      <c r="EB102" s="396"/>
      <c r="EC102" s="396"/>
      <c r="ED102" s="396"/>
      <c r="EE102" s="396"/>
      <c r="EF102" s="396"/>
      <c r="EG102" s="396"/>
      <c r="EH102" s="396"/>
      <c r="EI102" s="396"/>
      <c r="EJ102" s="396"/>
      <c r="EK102" s="396"/>
      <c r="EL102" s="396"/>
      <c r="EM102" s="396"/>
      <c r="EN102" s="396"/>
      <c r="EO102" s="396"/>
      <c r="EP102" s="396"/>
      <c r="EQ102" s="396"/>
      <c r="ER102" s="396"/>
      <c r="ES102" s="396"/>
      <c r="ET102" s="396"/>
      <c r="EU102" s="396"/>
      <c r="EV102" s="395"/>
      <c r="EW102" s="395"/>
      <c r="EX102" s="395"/>
      <c r="EY102" s="395"/>
      <c r="EZ102" s="395"/>
      <c r="FA102" s="395"/>
      <c r="FB102" s="395"/>
      <c r="FC102" s="395"/>
      <c r="FD102" s="395"/>
      <c r="FE102" s="395"/>
      <c r="FF102" s="395"/>
      <c r="FG102" s="395"/>
      <c r="FH102" s="395"/>
      <c r="FI102" s="395"/>
      <c r="FJ102" s="395"/>
    </row>
    <row r="103" spans="1:189" ht="10.5" hidden="1" customHeight="1">
      <c r="A103" s="405"/>
      <c r="B103" s="405"/>
      <c r="C103" s="405"/>
      <c r="D103" s="405"/>
      <c r="E103" s="405"/>
      <c r="F103" s="405"/>
      <c r="G103" s="405"/>
      <c r="H103" s="405"/>
      <c r="I103" s="405"/>
      <c r="J103" s="405"/>
      <c r="K103" s="405"/>
      <c r="L103" s="405"/>
      <c r="M103" s="405"/>
      <c r="N103" s="405"/>
      <c r="O103" s="405"/>
      <c r="P103" s="405"/>
      <c r="Q103" s="405"/>
      <c r="R103" s="405"/>
      <c r="S103" s="405"/>
      <c r="T103" s="405"/>
      <c r="U103" s="405"/>
      <c r="V103" s="405"/>
      <c r="W103" s="405"/>
      <c r="X103" s="405"/>
      <c r="Y103" s="405"/>
      <c r="Z103" s="405"/>
      <c r="AA103" s="405"/>
      <c r="AB103" s="405"/>
      <c r="AC103" s="405"/>
      <c r="AD103" s="405"/>
      <c r="AE103" s="405"/>
      <c r="AF103" s="405"/>
      <c r="AG103" s="405"/>
      <c r="AH103" s="405"/>
      <c r="AI103" s="405"/>
      <c r="AJ103" s="405"/>
      <c r="AK103" s="405"/>
      <c r="AL103" s="405"/>
      <c r="AM103" s="405"/>
      <c r="AN103" s="412"/>
      <c r="AO103" s="412"/>
      <c r="AP103" s="412"/>
      <c r="AQ103" s="412"/>
      <c r="AR103" s="412"/>
      <c r="AS103" s="412"/>
      <c r="AT103" s="403"/>
      <c r="AU103" s="403"/>
      <c r="AV103" s="403"/>
      <c r="AW103" s="403"/>
      <c r="AX103" s="403"/>
      <c r="AY103" s="403"/>
      <c r="AZ103" s="403"/>
      <c r="BA103" s="403"/>
      <c r="BB103" s="403"/>
      <c r="BC103" s="403"/>
      <c r="BD103" s="403"/>
      <c r="BE103" s="403"/>
      <c r="BF103" s="403"/>
      <c r="BG103" s="403"/>
      <c r="BH103" s="403"/>
      <c r="BI103" s="403"/>
      <c r="BJ103" s="403"/>
      <c r="BK103" s="403"/>
      <c r="BL103" s="403"/>
      <c r="BM103" s="403"/>
      <c r="BN103" s="403"/>
      <c r="BO103" s="403"/>
      <c r="BP103" s="403"/>
      <c r="BQ103" s="403"/>
      <c r="BR103" s="396"/>
      <c r="BS103" s="396"/>
      <c r="BT103" s="396"/>
      <c r="BU103" s="396"/>
      <c r="BV103" s="396"/>
      <c r="BW103" s="396"/>
      <c r="BX103" s="396"/>
      <c r="BY103" s="396"/>
      <c r="BZ103" s="396"/>
      <c r="CA103" s="396"/>
      <c r="CB103" s="396"/>
      <c r="CC103" s="396"/>
      <c r="CD103" s="396"/>
      <c r="CE103" s="396"/>
      <c r="CF103" s="396"/>
      <c r="CG103" s="396"/>
      <c r="CH103" s="396"/>
      <c r="CI103" s="396"/>
      <c r="CJ103" s="396"/>
      <c r="CK103" s="396"/>
      <c r="CL103" s="396"/>
      <c r="CM103" s="396"/>
      <c r="CN103" s="396"/>
      <c r="CO103" s="396"/>
      <c r="CP103" s="396"/>
      <c r="CQ103" s="396"/>
      <c r="CR103" s="396"/>
      <c r="CS103" s="396"/>
      <c r="CT103" s="396"/>
      <c r="CU103" s="396"/>
      <c r="CV103" s="396"/>
      <c r="CW103" s="396"/>
      <c r="CX103" s="396"/>
      <c r="CY103" s="396"/>
      <c r="CZ103" s="396"/>
      <c r="DA103" s="396"/>
      <c r="DB103" s="396"/>
      <c r="DC103" s="396"/>
      <c r="DD103" s="396"/>
      <c r="DE103" s="396"/>
      <c r="DF103" s="396"/>
      <c r="DG103" s="396"/>
      <c r="DH103" s="396"/>
      <c r="DI103" s="396"/>
      <c r="DJ103" s="396"/>
      <c r="DK103" s="396"/>
      <c r="DL103" s="396"/>
      <c r="DM103" s="396"/>
      <c r="DN103" s="396"/>
      <c r="DO103" s="396"/>
      <c r="DP103" s="396"/>
      <c r="DQ103" s="396"/>
      <c r="DR103" s="396"/>
      <c r="DS103" s="396"/>
      <c r="DT103" s="396"/>
      <c r="DU103" s="396"/>
      <c r="DV103" s="396"/>
      <c r="DW103" s="396"/>
      <c r="DX103" s="396"/>
      <c r="DY103" s="396"/>
      <c r="DZ103" s="396"/>
      <c r="EA103" s="396"/>
      <c r="EB103" s="396"/>
      <c r="EC103" s="396"/>
      <c r="ED103" s="396"/>
      <c r="EE103" s="396"/>
      <c r="EF103" s="396"/>
      <c r="EG103" s="396"/>
      <c r="EH103" s="396"/>
      <c r="EI103" s="396"/>
      <c r="EJ103" s="396"/>
      <c r="EK103" s="396"/>
      <c r="EL103" s="396"/>
      <c r="EM103" s="396"/>
      <c r="EN103" s="396"/>
      <c r="EO103" s="396"/>
      <c r="EP103" s="396"/>
      <c r="EQ103" s="396"/>
      <c r="ER103" s="396"/>
      <c r="ES103" s="396"/>
      <c r="ET103" s="396"/>
      <c r="EU103" s="396"/>
      <c r="EV103" s="395"/>
      <c r="EW103" s="395"/>
      <c r="EX103" s="395"/>
      <c r="EY103" s="395"/>
      <c r="EZ103" s="395"/>
      <c r="FA103" s="395"/>
      <c r="FB103" s="395"/>
      <c r="FC103" s="395"/>
      <c r="FD103" s="395"/>
      <c r="FE103" s="395"/>
      <c r="FF103" s="395"/>
      <c r="FG103" s="395"/>
      <c r="FH103" s="395"/>
      <c r="FI103" s="395"/>
      <c r="FJ103" s="395"/>
    </row>
    <row r="104" spans="1:189">
      <c r="CM104" s="428" t="s">
        <v>135</v>
      </c>
      <c r="CN104" s="428"/>
      <c r="CO104" s="428"/>
      <c r="CP104" s="428"/>
      <c r="CQ104" s="428"/>
      <c r="CR104" s="428"/>
      <c r="CS104" s="428"/>
      <c r="CT104" s="428"/>
      <c r="CU104" s="428"/>
      <c r="CV104" s="428"/>
      <c r="CW104" s="428"/>
      <c r="CX104" s="428"/>
      <c r="CY104" s="428"/>
      <c r="CZ104" s="428"/>
      <c r="DA104" s="428"/>
      <c r="DB104" s="428"/>
    </row>
  </sheetData>
  <sheetProtection selectLockedCells="1" selectUnlockedCells="1"/>
  <mergeCells count="827">
    <mergeCell ref="CM104:DB104"/>
    <mergeCell ref="DR99:EF99"/>
    <mergeCell ref="EG99:EU99"/>
    <mergeCell ref="EV99:FJ99"/>
    <mergeCell ref="A99:AM99"/>
    <mergeCell ref="AN99:AS99"/>
    <mergeCell ref="AT99:BQ99"/>
    <mergeCell ref="BR99:CL99"/>
    <mergeCell ref="CM99:DB99"/>
    <mergeCell ref="DC99:DQ99"/>
    <mergeCell ref="EV34:FJ34"/>
    <mergeCell ref="EG32:EU32"/>
    <mergeCell ref="DR84:EF84"/>
    <mergeCell ref="EV38:FJ38"/>
    <mergeCell ref="EV41:FJ41"/>
    <mergeCell ref="EV40:FJ40"/>
    <mergeCell ref="DR43:EF43"/>
    <mergeCell ref="DR38:EF38"/>
    <mergeCell ref="EG74:EU74"/>
    <mergeCell ref="EV75:FJ75"/>
    <mergeCell ref="EG80:EU80"/>
    <mergeCell ref="EG84:EU84"/>
    <mergeCell ref="EG34:EU34"/>
    <mergeCell ref="EG38:EU38"/>
    <mergeCell ref="EG76:EU76"/>
    <mergeCell ref="EG82:EU82"/>
    <mergeCell ref="EV82:FJ82"/>
    <mergeCell ref="EV25:FJ25"/>
    <mergeCell ref="AT25:BQ25"/>
    <mergeCell ref="BR25:CL25"/>
    <mergeCell ref="DR25:EF25"/>
    <mergeCell ref="EG25:EU25"/>
    <mergeCell ref="A25:AM25"/>
    <mergeCell ref="DR22:EF22"/>
    <mergeCell ref="EG22:EU22"/>
    <mergeCell ref="EV22:FJ22"/>
    <mergeCell ref="A22:AM22"/>
    <mergeCell ref="AN22:AS22"/>
    <mergeCell ref="AT22:BQ22"/>
    <mergeCell ref="BR22:CL22"/>
    <mergeCell ref="CM22:DB22"/>
    <mergeCell ref="DC22:DQ22"/>
    <mergeCell ref="EV28:FJ28"/>
    <mergeCell ref="BR28:CL28"/>
    <mergeCell ref="EV21:FJ21"/>
    <mergeCell ref="EG21:EU21"/>
    <mergeCell ref="DR21:EF21"/>
    <mergeCell ref="DC21:DQ21"/>
    <mergeCell ref="CM21:DB21"/>
    <mergeCell ref="CM23:DB23"/>
    <mergeCell ref="DC23:DQ23"/>
    <mergeCell ref="BR23:CL23"/>
    <mergeCell ref="DR28:EF28"/>
    <mergeCell ref="DC26:DQ26"/>
    <mergeCell ref="EV26:FJ26"/>
    <mergeCell ref="DR26:EF26"/>
    <mergeCell ref="EV27:FJ27"/>
    <mergeCell ref="DC27:DQ27"/>
    <mergeCell ref="EG27:EU27"/>
    <mergeCell ref="CM25:DB25"/>
    <mergeCell ref="DC25:DQ25"/>
    <mergeCell ref="DR23:EF23"/>
    <mergeCell ref="EG23:EU23"/>
    <mergeCell ref="BR26:CL26"/>
    <mergeCell ref="CM26:DB26"/>
    <mergeCell ref="EV23:FJ23"/>
    <mergeCell ref="A21:AM21"/>
    <mergeCell ref="BR98:CL98"/>
    <mergeCell ref="A28:AM28"/>
    <mergeCell ref="AN28:AS28"/>
    <mergeCell ref="AT28:BQ28"/>
    <mergeCell ref="A97:AM97"/>
    <mergeCell ref="AT21:BQ21"/>
    <mergeCell ref="AN21:AS21"/>
    <mergeCell ref="BR21:CL21"/>
    <mergeCell ref="BR27:CL27"/>
    <mergeCell ref="BR30:CL30"/>
    <mergeCell ref="AT29:BQ29"/>
    <mergeCell ref="BR29:CL29"/>
    <mergeCell ref="AN25:AS25"/>
    <mergeCell ref="A26:AM26"/>
    <mergeCell ref="AN26:AS26"/>
    <mergeCell ref="AT26:BQ26"/>
    <mergeCell ref="A24:AM24"/>
    <mergeCell ref="AN24:AS24"/>
    <mergeCell ref="AT24:BQ24"/>
    <mergeCell ref="A27:AM27"/>
    <mergeCell ref="AN27:AS27"/>
    <mergeCell ref="AT27:BQ27"/>
    <mergeCell ref="EV76:FJ76"/>
    <mergeCell ref="CM75:DB75"/>
    <mergeCell ref="DC46:DQ46"/>
    <mergeCell ref="BR41:CL41"/>
    <mergeCell ref="CM41:DB41"/>
    <mergeCell ref="DR47:EF47"/>
    <mergeCell ref="DC77:DQ77"/>
    <mergeCell ref="EV47:FJ47"/>
    <mergeCell ref="DC95:DQ95"/>
    <mergeCell ref="CM93:DB93"/>
    <mergeCell ref="CM89:DB89"/>
    <mergeCell ref="DC94:DQ94"/>
    <mergeCell ref="DC86:DQ86"/>
    <mergeCell ref="DR95:EF95"/>
    <mergeCell ref="DR76:EF76"/>
    <mergeCell ref="EG95:EU95"/>
    <mergeCell ref="EG89:EU89"/>
    <mergeCell ref="EG88:EU88"/>
    <mergeCell ref="EG92:EU92"/>
    <mergeCell ref="EV90:FJ90"/>
    <mergeCell ref="EV91:FJ91"/>
    <mergeCell ref="EV94:FJ94"/>
    <mergeCell ref="EV89:FJ89"/>
    <mergeCell ref="DR88:EF88"/>
    <mergeCell ref="EV44:FJ44"/>
    <mergeCell ref="DR45:EF45"/>
    <mergeCell ref="EV39:FJ39"/>
    <mergeCell ref="CM39:DB39"/>
    <mergeCell ref="DC39:DQ39"/>
    <mergeCell ref="DC41:DQ41"/>
    <mergeCell ref="BR46:CL46"/>
    <mergeCell ref="CM44:DB44"/>
    <mergeCell ref="DC45:DQ45"/>
    <mergeCell ref="EV77:FJ77"/>
    <mergeCell ref="EV79:FJ79"/>
    <mergeCell ref="EV80:FJ80"/>
    <mergeCell ref="DR79:EF79"/>
    <mergeCell ref="EG79:EU79"/>
    <mergeCell ref="EV81:FJ81"/>
    <mergeCell ref="DR77:EF77"/>
    <mergeCell ref="EG77:EU77"/>
    <mergeCell ref="DR81:EF81"/>
    <mergeCell ref="EG78:EU78"/>
    <mergeCell ref="DR78:EF78"/>
    <mergeCell ref="EV84:FJ84"/>
    <mergeCell ref="DC84:DQ84"/>
    <mergeCell ref="CM86:DB86"/>
    <mergeCell ref="EV85:FJ85"/>
    <mergeCell ref="DR86:EF86"/>
    <mergeCell ref="EG86:EU86"/>
    <mergeCell ref="DR85:EF85"/>
    <mergeCell ref="CM85:DB85"/>
    <mergeCell ref="EV78:FJ78"/>
    <mergeCell ref="EV86:FJ86"/>
    <mergeCell ref="EV83:FJ83"/>
    <mergeCell ref="EG83:EU83"/>
    <mergeCell ref="DR83:EF83"/>
    <mergeCell ref="DC78:DQ78"/>
    <mergeCell ref="EG33:EU33"/>
    <mergeCell ref="DC20:DQ20"/>
    <mergeCell ref="EG31:EU31"/>
    <mergeCell ref="DR30:EF30"/>
    <mergeCell ref="DC28:DQ28"/>
    <mergeCell ref="EG26:EU26"/>
    <mergeCell ref="EG28:EU28"/>
    <mergeCell ref="CM87:DB87"/>
    <mergeCell ref="DC87:DQ87"/>
    <mergeCell ref="EG47:EU47"/>
    <mergeCell ref="DR87:EF87"/>
    <mergeCell ref="EG87:EU87"/>
    <mergeCell ref="DC38:DQ38"/>
    <mergeCell ref="DC29:DQ29"/>
    <mergeCell ref="CM28:DB28"/>
    <mergeCell ref="CM27:DB27"/>
    <mergeCell ref="DR27:EF27"/>
    <mergeCell ref="CM30:DB30"/>
    <mergeCell ref="DC30:DQ30"/>
    <mergeCell ref="CM29:DB29"/>
    <mergeCell ref="BR102:CL102"/>
    <mergeCell ref="A102:AM102"/>
    <mergeCell ref="CM103:DB103"/>
    <mergeCell ref="A19:AM19"/>
    <mergeCell ref="AN19:AS19"/>
    <mergeCell ref="AT19:BQ19"/>
    <mergeCell ref="BR19:CL19"/>
    <mergeCell ref="CM19:DB19"/>
    <mergeCell ref="A33:AM33"/>
    <mergeCell ref="AN33:AS33"/>
    <mergeCell ref="A103:AM103"/>
    <mergeCell ref="AN103:AS103"/>
    <mergeCell ref="A46:AM46"/>
    <mergeCell ref="CM96:DB96"/>
    <mergeCell ref="A23:AM23"/>
    <mergeCell ref="AN23:AS23"/>
    <mergeCell ref="AT23:BQ23"/>
    <mergeCell ref="A43:AM43"/>
    <mergeCell ref="A30:AM30"/>
    <mergeCell ref="AN30:AS30"/>
    <mergeCell ref="BR38:CL38"/>
    <mergeCell ref="AT30:BQ30"/>
    <mergeCell ref="CM97:DB97"/>
    <mergeCell ref="AN97:AS97"/>
    <mergeCell ref="EV103:FJ103"/>
    <mergeCell ref="CM100:DB100"/>
    <mergeCell ref="DC100:DQ100"/>
    <mergeCell ref="DR102:EF102"/>
    <mergeCell ref="A101:AM101"/>
    <mergeCell ref="AN101:AS101"/>
    <mergeCell ref="AT101:BQ101"/>
    <mergeCell ref="BR101:CL101"/>
    <mergeCell ref="CM101:DB101"/>
    <mergeCell ref="DC101:DQ101"/>
    <mergeCell ref="CM102:DB102"/>
    <mergeCell ref="DC103:DQ103"/>
    <mergeCell ref="DR101:EF101"/>
    <mergeCell ref="EG101:EU101"/>
    <mergeCell ref="EV101:FJ101"/>
    <mergeCell ref="DC102:DQ102"/>
    <mergeCell ref="EG102:EU102"/>
    <mergeCell ref="EV102:FJ102"/>
    <mergeCell ref="DR103:EF103"/>
    <mergeCell ref="EG103:EU103"/>
    <mergeCell ref="AT103:BQ103"/>
    <mergeCell ref="BR103:CL103"/>
    <mergeCell ref="AN102:AS102"/>
    <mergeCell ref="AT102:BQ102"/>
    <mergeCell ref="A100:AM100"/>
    <mergeCell ref="AN100:AS100"/>
    <mergeCell ref="AT100:BQ100"/>
    <mergeCell ref="BR100:CL100"/>
    <mergeCell ref="DR91:EF91"/>
    <mergeCell ref="EG91:EU91"/>
    <mergeCell ref="AN91:AS91"/>
    <mergeCell ref="AT91:BQ91"/>
    <mergeCell ref="BR91:CL91"/>
    <mergeCell ref="A95:AM95"/>
    <mergeCell ref="DC97:DQ97"/>
    <mergeCell ref="AT98:BQ98"/>
    <mergeCell ref="CM98:DB98"/>
    <mergeCell ref="DC98:DQ98"/>
    <mergeCell ref="DR97:EF97"/>
    <mergeCell ref="EG97:EU97"/>
    <mergeCell ref="DR100:EF100"/>
    <mergeCell ref="EG100:EU100"/>
    <mergeCell ref="AT97:BQ97"/>
    <mergeCell ref="BR97:CL97"/>
    <mergeCell ref="CM94:DB94"/>
    <mergeCell ref="DR94:EF94"/>
    <mergeCell ref="EV100:FJ100"/>
    <mergeCell ref="EG93:EU93"/>
    <mergeCell ref="EV93:FJ93"/>
    <mergeCell ref="EG94:EU94"/>
    <mergeCell ref="EV97:FJ97"/>
    <mergeCell ref="EV96:FJ96"/>
    <mergeCell ref="EG98:EU98"/>
    <mergeCell ref="AN95:AS95"/>
    <mergeCell ref="AT95:BQ95"/>
    <mergeCell ref="BR95:CL95"/>
    <mergeCell ref="AN92:AS92"/>
    <mergeCell ref="AT92:BQ92"/>
    <mergeCell ref="BR92:CL92"/>
    <mergeCell ref="AT93:BQ93"/>
    <mergeCell ref="BR93:CL93"/>
    <mergeCell ref="A94:AM94"/>
    <mergeCell ref="AN94:AS94"/>
    <mergeCell ref="AT94:BQ94"/>
    <mergeCell ref="BR94:CL94"/>
    <mergeCell ref="AN93:AS93"/>
    <mergeCell ref="DC93:DQ93"/>
    <mergeCell ref="A90:AM90"/>
    <mergeCell ref="EV87:FJ87"/>
    <mergeCell ref="A88:AM88"/>
    <mergeCell ref="AN88:AS88"/>
    <mergeCell ref="AT88:BQ88"/>
    <mergeCell ref="BR88:CL88"/>
    <mergeCell ref="BR90:CL90"/>
    <mergeCell ref="CM90:DB90"/>
    <mergeCell ref="DC90:DQ90"/>
    <mergeCell ref="EG90:EU90"/>
    <mergeCell ref="DR92:EF92"/>
    <mergeCell ref="DC92:DQ92"/>
    <mergeCell ref="A91:AM91"/>
    <mergeCell ref="A92:AM92"/>
    <mergeCell ref="CM92:DB92"/>
    <mergeCell ref="AT90:BQ90"/>
    <mergeCell ref="CM91:DB91"/>
    <mergeCell ref="A93:AM93"/>
    <mergeCell ref="DC89:DQ89"/>
    <mergeCell ref="DR89:EF89"/>
    <mergeCell ref="EV88:FJ88"/>
    <mergeCell ref="DR90:EF90"/>
    <mergeCell ref="EV92:FJ92"/>
    <mergeCell ref="A86:AM86"/>
    <mergeCell ref="BR85:CL85"/>
    <mergeCell ref="AT84:BQ84"/>
    <mergeCell ref="BR84:CL84"/>
    <mergeCell ref="A85:AM85"/>
    <mergeCell ref="CM88:DB88"/>
    <mergeCell ref="AN90:AS90"/>
    <mergeCell ref="DC88:DQ88"/>
    <mergeCell ref="DC91:DQ91"/>
    <mergeCell ref="CM84:DB84"/>
    <mergeCell ref="BR86:CL86"/>
    <mergeCell ref="A89:AM89"/>
    <mergeCell ref="AN89:AS89"/>
    <mergeCell ref="AT89:BQ89"/>
    <mergeCell ref="BR89:CL89"/>
    <mergeCell ref="AN86:AS86"/>
    <mergeCell ref="A87:AM87"/>
    <mergeCell ref="AN87:AS87"/>
    <mergeCell ref="AT87:BQ87"/>
    <mergeCell ref="BR87:CL87"/>
    <mergeCell ref="AT86:BQ86"/>
    <mergeCell ref="EG81:EU81"/>
    <mergeCell ref="DC82:DQ82"/>
    <mergeCell ref="DR82:EF82"/>
    <mergeCell ref="DC81:DQ81"/>
    <mergeCell ref="A81:AM81"/>
    <mergeCell ref="AT81:BQ81"/>
    <mergeCell ref="BR81:CL81"/>
    <mergeCell ref="A83:AM83"/>
    <mergeCell ref="CM83:DB83"/>
    <mergeCell ref="AN83:AS83"/>
    <mergeCell ref="AT83:BQ83"/>
    <mergeCell ref="AN82:AS82"/>
    <mergeCell ref="DC83:DQ83"/>
    <mergeCell ref="CM82:DB82"/>
    <mergeCell ref="BR83:CL83"/>
    <mergeCell ref="AN84:AS84"/>
    <mergeCell ref="AN85:AS85"/>
    <mergeCell ref="AT85:BQ85"/>
    <mergeCell ref="A84:AM84"/>
    <mergeCell ref="CM81:DB81"/>
    <mergeCell ref="A79:AM79"/>
    <mergeCell ref="CM80:DB80"/>
    <mergeCell ref="AN79:AS79"/>
    <mergeCell ref="A80:AM80"/>
    <mergeCell ref="AT79:BQ79"/>
    <mergeCell ref="AN81:AS81"/>
    <mergeCell ref="A82:AM82"/>
    <mergeCell ref="AT82:BQ82"/>
    <mergeCell ref="BR82:CL82"/>
    <mergeCell ref="CM77:DB77"/>
    <mergeCell ref="A78:AM78"/>
    <mergeCell ref="AT78:BQ78"/>
    <mergeCell ref="BR78:CL78"/>
    <mergeCell ref="CM78:DB78"/>
    <mergeCell ref="AN78:AS78"/>
    <mergeCell ref="AN80:AS80"/>
    <mergeCell ref="AT80:BQ80"/>
    <mergeCell ref="BR80:CL80"/>
    <mergeCell ref="A77:AM77"/>
    <mergeCell ref="AN77:AS77"/>
    <mergeCell ref="AT77:BQ77"/>
    <mergeCell ref="BR77:CL77"/>
    <mergeCell ref="A76:AM76"/>
    <mergeCell ref="A74:AM74"/>
    <mergeCell ref="AN74:AS74"/>
    <mergeCell ref="AT74:BQ74"/>
    <mergeCell ref="BR74:CL74"/>
    <mergeCell ref="DR74:EF74"/>
    <mergeCell ref="DC75:DQ75"/>
    <mergeCell ref="DR75:EF75"/>
    <mergeCell ref="EG75:EU75"/>
    <mergeCell ref="A75:AM75"/>
    <mergeCell ref="AN75:AS75"/>
    <mergeCell ref="AT75:BQ75"/>
    <mergeCell ref="BR75:CL75"/>
    <mergeCell ref="AN76:AS76"/>
    <mergeCell ref="AT76:BQ76"/>
    <mergeCell ref="BR76:CL76"/>
    <mergeCell ref="CM76:DB76"/>
    <mergeCell ref="DC76:DQ76"/>
    <mergeCell ref="A70:AM70"/>
    <mergeCell ref="AN70:AS70"/>
    <mergeCell ref="AT70:BQ70"/>
    <mergeCell ref="BR70:CL70"/>
    <mergeCell ref="A69:AM69"/>
    <mergeCell ref="AN69:AS69"/>
    <mergeCell ref="AT69:BQ69"/>
    <mergeCell ref="BR69:CL69"/>
    <mergeCell ref="EV74:FJ74"/>
    <mergeCell ref="EV70:FJ70"/>
    <mergeCell ref="CM70:DB70"/>
    <mergeCell ref="DC70:DQ70"/>
    <mergeCell ref="DR70:EF70"/>
    <mergeCell ref="EG70:EU70"/>
    <mergeCell ref="CM74:DB74"/>
    <mergeCell ref="DC74:DQ74"/>
    <mergeCell ref="DR71:EF71"/>
    <mergeCell ref="EG71:EU71"/>
    <mergeCell ref="EG67:EU67"/>
    <mergeCell ref="EV67:FJ67"/>
    <mergeCell ref="DR67:EF67"/>
    <mergeCell ref="A68:AM68"/>
    <mergeCell ref="AN68:AS68"/>
    <mergeCell ref="AT68:BQ68"/>
    <mergeCell ref="BR68:CL68"/>
    <mergeCell ref="CM69:DB69"/>
    <mergeCell ref="DC69:DQ69"/>
    <mergeCell ref="DR69:EF69"/>
    <mergeCell ref="EG69:EU69"/>
    <mergeCell ref="EV69:FJ69"/>
    <mergeCell ref="EV68:FJ68"/>
    <mergeCell ref="EG68:EU68"/>
    <mergeCell ref="CM68:DB68"/>
    <mergeCell ref="DC68:DQ68"/>
    <mergeCell ref="DR68:EF68"/>
    <mergeCell ref="A66:AM66"/>
    <mergeCell ref="AN66:AS66"/>
    <mergeCell ref="AT66:BQ66"/>
    <mergeCell ref="BR66:CL66"/>
    <mergeCell ref="CM66:DB66"/>
    <mergeCell ref="DC66:DQ66"/>
    <mergeCell ref="DR66:EF66"/>
    <mergeCell ref="EG66:EU66"/>
    <mergeCell ref="EV66:FJ66"/>
    <mergeCell ref="CM65:DB65"/>
    <mergeCell ref="DC65:DQ65"/>
    <mergeCell ref="DR65:EF65"/>
    <mergeCell ref="EG65:EU65"/>
    <mergeCell ref="A65:AM65"/>
    <mergeCell ref="AN65:AS65"/>
    <mergeCell ref="AT65:BQ65"/>
    <mergeCell ref="BR65:CL65"/>
    <mergeCell ref="EV65:FJ65"/>
    <mergeCell ref="A64:AM64"/>
    <mergeCell ref="AN64:AS64"/>
    <mergeCell ref="AT64:BQ64"/>
    <mergeCell ref="BR64:CL64"/>
    <mergeCell ref="CM64:DB64"/>
    <mergeCell ref="DC64:DQ64"/>
    <mergeCell ref="DR64:EF64"/>
    <mergeCell ref="EG64:EU64"/>
    <mergeCell ref="EV64:FJ64"/>
    <mergeCell ref="A62:AM62"/>
    <mergeCell ref="AN62:AS62"/>
    <mergeCell ref="AT62:BQ62"/>
    <mergeCell ref="BR62:CL62"/>
    <mergeCell ref="CM62:DB62"/>
    <mergeCell ref="EG62:EU62"/>
    <mergeCell ref="EV62:FJ62"/>
    <mergeCell ref="CM63:DB63"/>
    <mergeCell ref="DC63:DQ63"/>
    <mergeCell ref="DR63:EF63"/>
    <mergeCell ref="EG63:EU63"/>
    <mergeCell ref="A63:AM63"/>
    <mergeCell ref="AN63:AS63"/>
    <mergeCell ref="AT63:BQ63"/>
    <mergeCell ref="BR63:CL63"/>
    <mergeCell ref="EV63:FJ63"/>
    <mergeCell ref="A59:AM59"/>
    <mergeCell ref="AN59:AS59"/>
    <mergeCell ref="AT59:BQ59"/>
    <mergeCell ref="BR59:CL59"/>
    <mergeCell ref="CM59:DB59"/>
    <mergeCell ref="DC59:DQ59"/>
    <mergeCell ref="EV59:FJ59"/>
    <mergeCell ref="CM61:DB61"/>
    <mergeCell ref="DC61:DQ61"/>
    <mergeCell ref="DR61:EF61"/>
    <mergeCell ref="EG61:EU61"/>
    <mergeCell ref="CM60:DB60"/>
    <mergeCell ref="EG60:EU60"/>
    <mergeCell ref="EV60:FJ60"/>
    <mergeCell ref="A61:AM61"/>
    <mergeCell ref="AN61:AS61"/>
    <mergeCell ref="AT61:BQ61"/>
    <mergeCell ref="BR61:CL61"/>
    <mergeCell ref="EV61:FJ61"/>
    <mergeCell ref="CM58:DB58"/>
    <mergeCell ref="DC58:DQ58"/>
    <mergeCell ref="DR58:EF58"/>
    <mergeCell ref="EG58:EU58"/>
    <mergeCell ref="A58:AM58"/>
    <mergeCell ref="AN58:AS58"/>
    <mergeCell ref="AT58:BQ58"/>
    <mergeCell ref="BR58:CL58"/>
    <mergeCell ref="EV58:FJ58"/>
    <mergeCell ref="A57:AM57"/>
    <mergeCell ref="AN57:AS57"/>
    <mergeCell ref="AT57:BQ57"/>
    <mergeCell ref="BR57:CL57"/>
    <mergeCell ref="CM57:DB57"/>
    <mergeCell ref="DC57:DQ57"/>
    <mergeCell ref="DR57:EF57"/>
    <mergeCell ref="EG57:EU57"/>
    <mergeCell ref="EV57:FJ57"/>
    <mergeCell ref="BR54:CL54"/>
    <mergeCell ref="CM54:DB54"/>
    <mergeCell ref="DC54:DQ54"/>
    <mergeCell ref="DR54:EF54"/>
    <mergeCell ref="EG54:EU54"/>
    <mergeCell ref="EV54:FJ54"/>
    <mergeCell ref="CM56:DB56"/>
    <mergeCell ref="DC56:DQ56"/>
    <mergeCell ref="DR56:EF56"/>
    <mergeCell ref="EG56:EU56"/>
    <mergeCell ref="DC55:DQ55"/>
    <mergeCell ref="DR55:EF55"/>
    <mergeCell ref="CM55:DB55"/>
    <mergeCell ref="BR56:CL56"/>
    <mergeCell ref="EV56:FJ56"/>
    <mergeCell ref="CM53:DB53"/>
    <mergeCell ref="DC53:DQ53"/>
    <mergeCell ref="DR53:EF53"/>
    <mergeCell ref="EG53:EU53"/>
    <mergeCell ref="A53:AM53"/>
    <mergeCell ref="AN53:AS53"/>
    <mergeCell ref="AT53:BQ53"/>
    <mergeCell ref="BR53:CL53"/>
    <mergeCell ref="EV53:FJ53"/>
    <mergeCell ref="BR51:CL51"/>
    <mergeCell ref="EV51:FJ51"/>
    <mergeCell ref="A52:AM52"/>
    <mergeCell ref="AN52:AS52"/>
    <mergeCell ref="AT52:BQ52"/>
    <mergeCell ref="BR52:CL52"/>
    <mergeCell ref="CM52:DB52"/>
    <mergeCell ref="DC52:DQ52"/>
    <mergeCell ref="DR52:EF52"/>
    <mergeCell ref="EG52:EU52"/>
    <mergeCell ref="EV52:FJ52"/>
    <mergeCell ref="BR55:CL55"/>
    <mergeCell ref="AT49:BQ49"/>
    <mergeCell ref="BR49:CL49"/>
    <mergeCell ref="A48:AM48"/>
    <mergeCell ref="EV49:FJ49"/>
    <mergeCell ref="AN48:AS48"/>
    <mergeCell ref="AT48:BQ48"/>
    <mergeCell ref="BR48:CL48"/>
    <mergeCell ref="A50:AM50"/>
    <mergeCell ref="AN50:AS50"/>
    <mergeCell ref="AT50:BQ50"/>
    <mergeCell ref="BR50:CL50"/>
    <mergeCell ref="CM50:DB50"/>
    <mergeCell ref="DR50:EF50"/>
    <mergeCell ref="EG50:EU50"/>
    <mergeCell ref="EV50:FJ50"/>
    <mergeCell ref="EG49:EU49"/>
    <mergeCell ref="CM51:DB51"/>
    <mergeCell ref="DC51:DQ51"/>
    <mergeCell ref="DR51:EF51"/>
    <mergeCell ref="EG51:EU51"/>
    <mergeCell ref="A51:AM51"/>
    <mergeCell ref="AN51:AS51"/>
    <mergeCell ref="AT51:BQ51"/>
    <mergeCell ref="BR45:CL45"/>
    <mergeCell ref="EG43:EU43"/>
    <mergeCell ref="CM49:DB49"/>
    <mergeCell ref="DC49:DQ49"/>
    <mergeCell ref="DR49:EF49"/>
    <mergeCell ref="DC48:DQ48"/>
    <mergeCell ref="CM48:DB48"/>
    <mergeCell ref="DC47:DQ47"/>
    <mergeCell ref="CM46:DB46"/>
    <mergeCell ref="DR44:EF44"/>
    <mergeCell ref="DR46:EF46"/>
    <mergeCell ref="BR47:CL47"/>
    <mergeCell ref="CM47:DB47"/>
    <mergeCell ref="EG48:EU48"/>
    <mergeCell ref="AN46:AS46"/>
    <mergeCell ref="AT46:BQ46"/>
    <mergeCell ref="A56:AM56"/>
    <mergeCell ref="AN56:AS56"/>
    <mergeCell ref="AT56:BQ56"/>
    <mergeCell ref="AN45:AS45"/>
    <mergeCell ref="A55:AM55"/>
    <mergeCell ref="AN43:AS43"/>
    <mergeCell ref="A47:AM47"/>
    <mergeCell ref="AN55:AS55"/>
    <mergeCell ref="AT55:BQ55"/>
    <mergeCell ref="AN47:AS47"/>
    <mergeCell ref="AT47:BQ47"/>
    <mergeCell ref="A49:AM49"/>
    <mergeCell ref="AN49:AS49"/>
    <mergeCell ref="AT45:BQ45"/>
    <mergeCell ref="A54:AM54"/>
    <mergeCell ref="AN54:AS54"/>
    <mergeCell ref="AT54:BQ54"/>
    <mergeCell ref="A42:AM42"/>
    <mergeCell ref="AN42:AS42"/>
    <mergeCell ref="AT42:BQ42"/>
    <mergeCell ref="BR42:CL42"/>
    <mergeCell ref="CM42:DB42"/>
    <mergeCell ref="AT38:BQ38"/>
    <mergeCell ref="A41:AM41"/>
    <mergeCell ref="AN41:AS41"/>
    <mergeCell ref="AT41:BQ41"/>
    <mergeCell ref="A39:AM39"/>
    <mergeCell ref="AN39:AS39"/>
    <mergeCell ref="AT39:BQ39"/>
    <mergeCell ref="DR32:EF32"/>
    <mergeCell ref="DC32:DQ32"/>
    <mergeCell ref="CM31:DB31"/>
    <mergeCell ref="CM38:DB38"/>
    <mergeCell ref="DC40:DQ40"/>
    <mergeCell ref="DC35:DQ35"/>
    <mergeCell ref="DC37:DQ37"/>
    <mergeCell ref="DR37:EF37"/>
    <mergeCell ref="CM34:DB34"/>
    <mergeCell ref="DC34:DQ34"/>
    <mergeCell ref="DR39:EF39"/>
    <mergeCell ref="DR33:EF33"/>
    <mergeCell ref="A31:AM31"/>
    <mergeCell ref="AN31:AS31"/>
    <mergeCell ref="AT31:BQ31"/>
    <mergeCell ref="BR31:CL31"/>
    <mergeCell ref="A29:AM29"/>
    <mergeCell ref="AN29:AS29"/>
    <mergeCell ref="EV29:FJ29"/>
    <mergeCell ref="DR29:EF29"/>
    <mergeCell ref="DR31:EF31"/>
    <mergeCell ref="DC31:DQ31"/>
    <mergeCell ref="EG29:EU29"/>
    <mergeCell ref="EV31:FJ31"/>
    <mergeCell ref="EG30:EU30"/>
    <mergeCell ref="EV30:FJ30"/>
    <mergeCell ref="DR18:EF18"/>
    <mergeCell ref="EG18:EU18"/>
    <mergeCell ref="EV18:FJ18"/>
    <mergeCell ref="DR19:EF19"/>
    <mergeCell ref="EG19:EU19"/>
    <mergeCell ref="EV19:FJ19"/>
    <mergeCell ref="DR20:EF20"/>
    <mergeCell ref="EG20:EU20"/>
    <mergeCell ref="A20:AM20"/>
    <mergeCell ref="AN20:AS20"/>
    <mergeCell ref="AT20:BQ20"/>
    <mergeCell ref="BR20:CL20"/>
    <mergeCell ref="DC19:DQ19"/>
    <mergeCell ref="A10:AI10"/>
    <mergeCell ref="A11:AI11"/>
    <mergeCell ref="A40:AM40"/>
    <mergeCell ref="AN40:AS40"/>
    <mergeCell ref="AT40:BQ40"/>
    <mergeCell ref="A2:EQ2"/>
    <mergeCell ref="DR16:EF16"/>
    <mergeCell ref="EG16:EU16"/>
    <mergeCell ref="AN16:AS16"/>
    <mergeCell ref="AT16:BQ16"/>
    <mergeCell ref="ET8:FJ8"/>
    <mergeCell ref="ET9:FJ9"/>
    <mergeCell ref="ET10:FJ10"/>
    <mergeCell ref="A12:FJ12"/>
    <mergeCell ref="DR15:EF15"/>
    <mergeCell ref="EG15:EU15"/>
    <mergeCell ref="A14:AM15"/>
    <mergeCell ref="AN14:AS15"/>
    <mergeCell ref="AT14:BQ15"/>
    <mergeCell ref="BR14:CL15"/>
    <mergeCell ref="BR17:CL17"/>
    <mergeCell ref="CM17:DB17"/>
    <mergeCell ref="DC17:DQ17"/>
    <mergeCell ref="BR16:CL16"/>
    <mergeCell ref="A16:AM16"/>
    <mergeCell ref="BR32:CL32"/>
    <mergeCell ref="CM32:DB32"/>
    <mergeCell ref="EV14:FJ15"/>
    <mergeCell ref="CM15:DB15"/>
    <mergeCell ref="DC15:DQ15"/>
    <mergeCell ref="EV16:FJ16"/>
    <mergeCell ref="CM14:EU14"/>
    <mergeCell ref="AN17:AS17"/>
    <mergeCell ref="AT17:BQ17"/>
    <mergeCell ref="CM16:DB16"/>
    <mergeCell ref="DC16:DQ16"/>
    <mergeCell ref="DR17:EF17"/>
    <mergeCell ref="EG17:EU17"/>
    <mergeCell ref="EV17:FJ17"/>
    <mergeCell ref="A18:AM18"/>
    <mergeCell ref="AN18:AS18"/>
    <mergeCell ref="AT18:BQ18"/>
    <mergeCell ref="BR18:CL18"/>
    <mergeCell ref="CM18:DB18"/>
    <mergeCell ref="DC18:DQ18"/>
    <mergeCell ref="A17:AM17"/>
    <mergeCell ref="CM20:DB20"/>
    <mergeCell ref="EV20:FJ20"/>
    <mergeCell ref="A34:AM34"/>
    <mergeCell ref="AN35:AS35"/>
    <mergeCell ref="AT35:BQ35"/>
    <mergeCell ref="BR36:CL36"/>
    <mergeCell ref="BR35:CL35"/>
    <mergeCell ref="A32:AM32"/>
    <mergeCell ref="AN34:AS34"/>
    <mergeCell ref="AT34:BQ34"/>
    <mergeCell ref="AT32:BQ32"/>
    <mergeCell ref="AT33:BQ33"/>
    <mergeCell ref="BR33:CL33"/>
    <mergeCell ref="DR98:EF98"/>
    <mergeCell ref="EV98:FJ98"/>
    <mergeCell ref="A98:AM98"/>
    <mergeCell ref="AN98:AS98"/>
    <mergeCell ref="CM95:DB95"/>
    <mergeCell ref="BR43:CL43"/>
    <mergeCell ref="DC96:DQ96"/>
    <mergeCell ref="CM43:DB43"/>
    <mergeCell ref="A96:AM96"/>
    <mergeCell ref="AN96:AS96"/>
    <mergeCell ref="AT96:BQ96"/>
    <mergeCell ref="BR96:CL96"/>
    <mergeCell ref="AT67:BQ67"/>
    <mergeCell ref="AT43:BQ43"/>
    <mergeCell ref="A67:AM67"/>
    <mergeCell ref="A60:AM60"/>
    <mergeCell ref="AN60:AS60"/>
    <mergeCell ref="A71:AM71"/>
    <mergeCell ref="DC43:DQ43"/>
    <mergeCell ref="AN67:AS67"/>
    <mergeCell ref="A45:AM45"/>
    <mergeCell ref="A44:AM44"/>
    <mergeCell ref="AN44:AS44"/>
    <mergeCell ref="AT44:BQ44"/>
    <mergeCell ref="DR80:EF80"/>
    <mergeCell ref="DC80:DQ80"/>
    <mergeCell ref="CM79:DB79"/>
    <mergeCell ref="DC79:DQ79"/>
    <mergeCell ref="DC73:DQ73"/>
    <mergeCell ref="DR42:EF42"/>
    <mergeCell ref="EV43:FJ43"/>
    <mergeCell ref="EG96:EU96"/>
    <mergeCell ref="EG85:EU85"/>
    <mergeCell ref="EG45:EU45"/>
    <mergeCell ref="DC85:DQ85"/>
    <mergeCell ref="DR62:EF62"/>
    <mergeCell ref="DR72:EF72"/>
    <mergeCell ref="EG46:EU46"/>
    <mergeCell ref="EV46:FJ46"/>
    <mergeCell ref="EG44:EU44"/>
    <mergeCell ref="DR96:EF96"/>
    <mergeCell ref="EG42:EU42"/>
    <mergeCell ref="EV95:FJ95"/>
    <mergeCell ref="DR93:EF93"/>
    <mergeCell ref="EV45:FJ45"/>
    <mergeCell ref="EV55:FJ55"/>
    <mergeCell ref="EG55:EU55"/>
    <mergeCell ref="EV48:FJ48"/>
    <mergeCell ref="BR79:CL79"/>
    <mergeCell ref="BR67:CL67"/>
    <mergeCell ref="CM67:DB67"/>
    <mergeCell ref="DC67:DQ67"/>
    <mergeCell ref="DC62:DQ62"/>
    <mergeCell ref="EV37:FJ37"/>
    <mergeCell ref="A37:AM37"/>
    <mergeCell ref="AN37:AS37"/>
    <mergeCell ref="AT37:BQ37"/>
    <mergeCell ref="BR37:CL37"/>
    <mergeCell ref="CM37:DB37"/>
    <mergeCell ref="A38:AM38"/>
    <mergeCell ref="AN38:AS38"/>
    <mergeCell ref="EG39:EU39"/>
    <mergeCell ref="DC44:DQ44"/>
    <mergeCell ref="DR59:EF59"/>
    <mergeCell ref="EG59:EU59"/>
    <mergeCell ref="DC42:DQ42"/>
    <mergeCell ref="BR44:CL44"/>
    <mergeCell ref="CM45:DB45"/>
    <mergeCell ref="DR48:EF48"/>
    <mergeCell ref="DC50:DQ50"/>
    <mergeCell ref="CM40:DB40"/>
    <mergeCell ref="DR40:EF40"/>
    <mergeCell ref="A9:BP9"/>
    <mergeCell ref="ET6:FJ6"/>
    <mergeCell ref="ET4:FJ4"/>
    <mergeCell ref="ET5:FJ5"/>
    <mergeCell ref="ET7:FJ7"/>
    <mergeCell ref="EV42:FJ42"/>
    <mergeCell ref="BR60:CL60"/>
    <mergeCell ref="DC60:DQ60"/>
    <mergeCell ref="DR60:EF60"/>
    <mergeCell ref="AT60:BQ60"/>
    <mergeCell ref="DC33:DQ33"/>
    <mergeCell ref="DC36:DQ36"/>
    <mergeCell ref="A36:AM36"/>
    <mergeCell ref="AN36:AS36"/>
    <mergeCell ref="CM33:DB33"/>
    <mergeCell ref="AT36:BQ36"/>
    <mergeCell ref="A35:AM35"/>
    <mergeCell ref="CM36:DB36"/>
    <mergeCell ref="DR36:EF36"/>
    <mergeCell ref="EV36:FJ36"/>
    <mergeCell ref="EG36:EU36"/>
    <mergeCell ref="DR41:EF41"/>
    <mergeCell ref="EG37:EU37"/>
    <mergeCell ref="EG40:EU40"/>
    <mergeCell ref="EJ6:EQ6"/>
    <mergeCell ref="EH7:ER7"/>
    <mergeCell ref="EH8:ER8"/>
    <mergeCell ref="A5:BO5"/>
    <mergeCell ref="A6:BO6"/>
    <mergeCell ref="A7:BB7"/>
    <mergeCell ref="BF7:CW7"/>
    <mergeCell ref="ET2:FJ2"/>
    <mergeCell ref="A3:EC4"/>
    <mergeCell ref="ED3:ES3"/>
    <mergeCell ref="ET3:FJ3"/>
    <mergeCell ref="EM5:EQ5"/>
    <mergeCell ref="AN71:AS71"/>
    <mergeCell ref="AT71:BQ71"/>
    <mergeCell ref="BR71:CL71"/>
    <mergeCell ref="CM71:DB71"/>
    <mergeCell ref="DC71:DQ71"/>
    <mergeCell ref="EV71:FJ71"/>
    <mergeCell ref="BR24:CL24"/>
    <mergeCell ref="CM24:DB24"/>
    <mergeCell ref="DC24:DQ24"/>
    <mergeCell ref="DR24:EF24"/>
    <mergeCell ref="EG24:EU24"/>
    <mergeCell ref="EV24:FJ24"/>
    <mergeCell ref="BR40:CL40"/>
    <mergeCell ref="BR39:CL39"/>
    <mergeCell ref="AN32:AS32"/>
    <mergeCell ref="BR34:CL34"/>
    <mergeCell ref="EV35:FJ35"/>
    <mergeCell ref="DR35:EF35"/>
    <mergeCell ref="EG35:EU35"/>
    <mergeCell ref="EV32:FJ32"/>
    <mergeCell ref="CM35:DB35"/>
    <mergeCell ref="DR34:EF34"/>
    <mergeCell ref="EV33:FJ33"/>
    <mergeCell ref="EG41:EU41"/>
    <mergeCell ref="EG72:EU72"/>
    <mergeCell ref="EV72:FJ72"/>
    <mergeCell ref="DR73:EF73"/>
    <mergeCell ref="EG73:EU73"/>
    <mergeCell ref="EV73:FJ73"/>
    <mergeCell ref="DC72:DQ72"/>
    <mergeCell ref="A73:AM73"/>
    <mergeCell ref="AN73:AS73"/>
    <mergeCell ref="AT73:BQ73"/>
    <mergeCell ref="BR73:CL73"/>
    <mergeCell ref="CM73:DB73"/>
    <mergeCell ref="A72:AM72"/>
    <mergeCell ref="AN72:AS72"/>
    <mergeCell ref="AT72:BQ72"/>
    <mergeCell ref="BR72:CL72"/>
    <mergeCell ref="CM72:DB72"/>
  </mergeCells>
  <pageMargins left="0.39370078740157483" right="0.39370078740157483" top="0.78740157480314965" bottom="0.39370078740157483" header="0.19685039370078741" footer="0.51181102362204722"/>
  <pageSetup paperSize="9" scale="90" firstPageNumber="0" orientation="landscape" horizontalDpi="300" verticalDpi="300" r:id="rId1"/>
  <headerFooter alignWithMargins="0">
    <oddHeader>&amp;R&amp;"Times New Roman,Обычный"&amp;7Подготовлено с использованием системы 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:T125"/>
  <sheetViews>
    <sheetView showZeros="0" view="pageBreakPreview" topLeftCell="A7" zoomScale="120" zoomScaleSheetLayoutView="120" workbookViewId="0">
      <selection activeCell="F22" sqref="F22"/>
    </sheetView>
  </sheetViews>
  <sheetFormatPr defaultRowHeight="12.75"/>
  <cols>
    <col min="1" max="1" width="35.28515625" style="77" customWidth="1"/>
    <col min="2" max="2" width="5" style="77" customWidth="1"/>
    <col min="3" max="3" width="23.5703125" style="77" customWidth="1"/>
    <col min="4" max="4" width="6.140625" style="77" customWidth="1"/>
    <col min="5" max="5" width="8.5703125" style="77" customWidth="1"/>
    <col min="6" max="6" width="14" style="75" customWidth="1"/>
    <col min="7" max="7" width="12.85546875" style="75" customWidth="1"/>
    <col min="8" max="8" width="15.28515625" style="75" customWidth="1"/>
    <col min="9" max="9" width="5.7109375" style="75" customWidth="1"/>
    <col min="10" max="10" width="7" style="75" customWidth="1"/>
    <col min="11" max="11" width="5.7109375" style="75" hidden="1" customWidth="1"/>
    <col min="12" max="12" width="5.7109375" style="76" customWidth="1"/>
    <col min="13" max="13" width="5.5703125" style="75" customWidth="1"/>
    <col min="14" max="14" width="5.7109375" style="75" hidden="1" customWidth="1"/>
    <col min="15" max="15" width="13" style="72" customWidth="1"/>
    <col min="16" max="16" width="13.7109375" style="72" customWidth="1"/>
    <col min="17" max="17" width="17.85546875" style="72" customWidth="1"/>
    <col min="18" max="18" width="5.7109375" style="72" hidden="1" customWidth="1"/>
    <col min="19" max="19" width="30.28515625" style="74" hidden="1" customWidth="1"/>
    <col min="20" max="20" width="39.28515625" style="73" hidden="1" customWidth="1"/>
    <col min="21" max="16384" width="9.140625" style="72"/>
  </cols>
  <sheetData>
    <row r="1" spans="1:20">
      <c r="A1" s="80"/>
      <c r="B1" s="80"/>
      <c r="C1" s="80"/>
      <c r="D1" s="80"/>
      <c r="E1" s="80"/>
      <c r="F1" s="80"/>
      <c r="G1" s="80"/>
      <c r="H1" s="80"/>
      <c r="I1" s="443" t="s">
        <v>375</v>
      </c>
      <c r="J1" s="443"/>
      <c r="K1" s="443"/>
      <c r="L1" s="443"/>
      <c r="M1" s="443"/>
      <c r="N1" s="443"/>
      <c r="O1" s="443"/>
      <c r="P1" s="443"/>
      <c r="Q1" s="443"/>
      <c r="R1" s="80"/>
    </row>
    <row r="2" spans="1:20">
      <c r="A2" s="455" t="s">
        <v>374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80"/>
      <c r="R2" s="80"/>
      <c r="S2" s="76"/>
    </row>
    <row r="3" spans="1:20">
      <c r="A3" s="455"/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80"/>
      <c r="R3" s="80"/>
      <c r="S3" s="76"/>
    </row>
    <row r="4" spans="1:20">
      <c r="A4" s="455"/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80"/>
      <c r="R4" s="80"/>
      <c r="S4" s="76" t="s">
        <v>373</v>
      </c>
    </row>
    <row r="5" spans="1:20">
      <c r="A5" s="456"/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39" t="s">
        <v>1</v>
      </c>
      <c r="R5" s="439"/>
      <c r="S5" s="145"/>
    </row>
    <row r="6" spans="1:20">
      <c r="A6" s="84"/>
      <c r="B6" s="84"/>
      <c r="C6" s="84"/>
      <c r="D6" s="84"/>
      <c r="E6" s="84"/>
      <c r="F6" s="81"/>
      <c r="G6" s="80"/>
      <c r="H6" s="80"/>
      <c r="I6" s="81"/>
      <c r="J6" s="81"/>
      <c r="K6" s="81"/>
      <c r="L6" s="82"/>
      <c r="M6" s="81"/>
      <c r="N6" s="81"/>
      <c r="O6" s="80"/>
      <c r="P6" s="156"/>
      <c r="Q6" s="438"/>
      <c r="R6" s="438"/>
      <c r="S6" s="145"/>
      <c r="T6" s="73" t="s">
        <v>71</v>
      </c>
    </row>
    <row r="7" spans="1:20">
      <c r="A7" s="84"/>
      <c r="B7" s="153"/>
      <c r="C7" s="153"/>
      <c r="D7" s="152"/>
      <c r="E7" s="152"/>
      <c r="F7" s="151" t="s">
        <v>372</v>
      </c>
      <c r="G7" s="155"/>
      <c r="H7" s="154"/>
      <c r="I7" s="154"/>
      <c r="J7" s="148"/>
      <c r="K7" s="148"/>
      <c r="L7" s="149"/>
      <c r="M7" s="148"/>
      <c r="N7" s="148"/>
      <c r="O7" s="85"/>
      <c r="P7" s="146" t="s">
        <v>276</v>
      </c>
      <c r="Q7" s="449">
        <v>44531</v>
      </c>
      <c r="R7" s="449"/>
      <c r="S7" s="147"/>
      <c r="T7" s="73" t="s">
        <v>37</v>
      </c>
    </row>
    <row r="8" spans="1:20">
      <c r="A8" s="84"/>
      <c r="B8" s="153"/>
      <c r="C8" s="153"/>
      <c r="D8" s="152"/>
      <c r="E8" s="152"/>
      <c r="F8" s="151"/>
      <c r="G8" s="150"/>
      <c r="H8" s="150"/>
      <c r="I8" s="150"/>
      <c r="J8" s="148"/>
      <c r="K8" s="148"/>
      <c r="L8" s="149"/>
      <c r="M8" s="148"/>
      <c r="N8" s="148"/>
      <c r="O8" s="85"/>
      <c r="P8" s="146"/>
      <c r="Q8" s="437"/>
      <c r="R8" s="437"/>
      <c r="S8" s="147"/>
    </row>
    <row r="9" spans="1:20" ht="33.75" customHeight="1">
      <c r="A9" s="450" t="s">
        <v>371</v>
      </c>
      <c r="B9" s="450"/>
      <c r="C9" s="450"/>
      <c r="D9" s="450"/>
      <c r="E9" s="450"/>
      <c r="F9" s="450"/>
      <c r="G9" s="457" t="s">
        <v>370</v>
      </c>
      <c r="H9" s="457"/>
      <c r="I9" s="457"/>
      <c r="J9" s="457"/>
      <c r="K9" s="457"/>
      <c r="L9" s="457"/>
      <c r="M9" s="457"/>
      <c r="N9" s="457"/>
      <c r="O9" s="457"/>
      <c r="P9" s="146" t="s">
        <v>273</v>
      </c>
      <c r="Q9" s="437" t="s">
        <v>6</v>
      </c>
      <c r="R9" s="437"/>
      <c r="S9" s="147"/>
      <c r="T9" s="73" t="s">
        <v>369</v>
      </c>
    </row>
    <row r="10" spans="1:20">
      <c r="A10" s="459" t="s">
        <v>368</v>
      </c>
      <c r="B10" s="459"/>
      <c r="C10" s="459"/>
      <c r="D10" s="459"/>
      <c r="E10" s="459"/>
      <c r="F10" s="459"/>
      <c r="G10" s="458"/>
      <c r="H10" s="458"/>
      <c r="I10" s="458"/>
      <c r="J10" s="458"/>
      <c r="K10" s="458"/>
      <c r="L10" s="458"/>
      <c r="M10" s="458"/>
      <c r="N10" s="458"/>
      <c r="O10" s="458"/>
      <c r="P10" s="146" t="s">
        <v>271</v>
      </c>
      <c r="Q10" s="437" t="s">
        <v>7</v>
      </c>
      <c r="R10" s="437"/>
      <c r="S10" s="147"/>
    </row>
    <row r="11" spans="1:20">
      <c r="A11" s="448" t="s">
        <v>80</v>
      </c>
      <c r="B11" s="448"/>
      <c r="C11" s="448"/>
      <c r="D11" s="448"/>
      <c r="E11" s="448"/>
      <c r="F11" s="448"/>
      <c r="G11" s="457" t="s">
        <v>367</v>
      </c>
      <c r="H11" s="457"/>
      <c r="I11" s="457"/>
      <c r="J11" s="457"/>
      <c r="K11" s="457"/>
      <c r="L11" s="457"/>
      <c r="M11" s="457"/>
      <c r="N11" s="457"/>
      <c r="O11" s="457"/>
      <c r="P11" s="146" t="s">
        <v>2</v>
      </c>
      <c r="Q11" s="437" t="s">
        <v>8</v>
      </c>
      <c r="R11" s="437"/>
      <c r="S11" s="147"/>
      <c r="T11" s="73" t="s">
        <v>71</v>
      </c>
    </row>
    <row r="12" spans="1:20">
      <c r="A12" s="448" t="s">
        <v>366</v>
      </c>
      <c r="B12" s="448"/>
      <c r="C12" s="448"/>
      <c r="D12" s="448"/>
      <c r="E12" s="448"/>
      <c r="F12" s="448"/>
      <c r="G12" s="81"/>
      <c r="H12" s="81"/>
      <c r="I12" s="81"/>
      <c r="J12" s="81"/>
      <c r="K12" s="81"/>
      <c r="L12" s="82"/>
      <c r="M12" s="81"/>
      <c r="N12" s="81"/>
      <c r="O12" s="80"/>
      <c r="P12" s="146"/>
      <c r="Q12" s="438"/>
      <c r="R12" s="438"/>
      <c r="S12" s="145"/>
    </row>
    <row r="13" spans="1:20">
      <c r="A13" s="448" t="s">
        <v>365</v>
      </c>
      <c r="B13" s="448"/>
      <c r="C13" s="448"/>
      <c r="D13" s="448"/>
      <c r="E13" s="448"/>
      <c r="F13" s="448"/>
      <c r="G13" s="81"/>
      <c r="H13" s="81"/>
      <c r="I13" s="81"/>
      <c r="J13" s="81"/>
      <c r="K13" s="81"/>
      <c r="L13" s="82"/>
      <c r="M13" s="81"/>
      <c r="N13" s="81"/>
      <c r="O13" s="80"/>
      <c r="P13" s="146" t="s">
        <v>268</v>
      </c>
      <c r="Q13" s="438" t="s">
        <v>3</v>
      </c>
      <c r="R13" s="438"/>
      <c r="S13" s="145"/>
      <c r="T13" s="73" t="s">
        <v>364</v>
      </c>
    </row>
    <row r="14" spans="1:20">
      <c r="A14" s="144"/>
      <c r="B14" s="144"/>
      <c r="C14" s="144"/>
      <c r="D14" s="143"/>
      <c r="E14" s="143"/>
      <c r="F14" s="141"/>
      <c r="G14" s="141"/>
      <c r="H14" s="141"/>
      <c r="I14" s="141"/>
      <c r="J14" s="141"/>
      <c r="K14" s="141"/>
      <c r="L14" s="142"/>
      <c r="M14" s="141"/>
      <c r="N14" s="141"/>
      <c r="O14" s="141"/>
      <c r="P14" s="140"/>
      <c r="Q14" s="139"/>
      <c r="R14" s="139"/>
      <c r="S14" s="138"/>
    </row>
    <row r="15" spans="1:20" ht="12.75" customHeight="1">
      <c r="A15" s="137"/>
      <c r="B15" s="134"/>
      <c r="C15" s="466" t="s">
        <v>363</v>
      </c>
      <c r="D15" s="444" t="s">
        <v>362</v>
      </c>
      <c r="E15" s="445" t="s">
        <v>361</v>
      </c>
      <c r="F15" s="440" t="s">
        <v>11</v>
      </c>
      <c r="G15" s="440" t="s">
        <v>360</v>
      </c>
      <c r="H15" s="460" t="s">
        <v>359</v>
      </c>
      <c r="I15" s="461"/>
      <c r="J15" s="461"/>
      <c r="K15" s="461"/>
      <c r="L15" s="461"/>
      <c r="M15" s="461"/>
      <c r="N15" s="461"/>
      <c r="O15" s="461"/>
      <c r="P15" s="454" t="s">
        <v>13</v>
      </c>
      <c r="Q15" s="454"/>
      <c r="R15" s="454"/>
      <c r="S15" s="133"/>
    </row>
    <row r="16" spans="1:20">
      <c r="A16" s="136"/>
      <c r="B16" s="134" t="s">
        <v>358</v>
      </c>
      <c r="C16" s="467"/>
      <c r="D16" s="444"/>
      <c r="E16" s="446"/>
      <c r="F16" s="441"/>
      <c r="G16" s="441"/>
      <c r="H16" s="462"/>
      <c r="I16" s="463"/>
      <c r="J16" s="463"/>
      <c r="K16" s="463"/>
      <c r="L16" s="463"/>
      <c r="M16" s="463"/>
      <c r="N16" s="463"/>
      <c r="O16" s="463"/>
      <c r="P16" s="454"/>
      <c r="Q16" s="454"/>
      <c r="R16" s="454"/>
      <c r="S16" s="133"/>
    </row>
    <row r="17" spans="1:20" ht="12.75" customHeight="1">
      <c r="A17" s="135"/>
      <c r="B17" s="134" t="s">
        <v>357</v>
      </c>
      <c r="C17" s="467"/>
      <c r="D17" s="444"/>
      <c r="E17" s="446"/>
      <c r="F17" s="441"/>
      <c r="G17" s="441"/>
      <c r="H17" s="440" t="s">
        <v>262</v>
      </c>
      <c r="I17" s="440" t="s">
        <v>356</v>
      </c>
      <c r="J17" s="473"/>
      <c r="K17" s="474"/>
      <c r="L17" s="479" t="s">
        <v>355</v>
      </c>
      <c r="M17" s="480"/>
      <c r="N17" s="481"/>
      <c r="O17" s="440" t="s">
        <v>259</v>
      </c>
      <c r="P17" s="454" t="s">
        <v>354</v>
      </c>
      <c r="Q17" s="454" t="s">
        <v>353</v>
      </c>
      <c r="R17" s="454"/>
      <c r="S17" s="133"/>
    </row>
    <row r="18" spans="1:20">
      <c r="A18" s="136" t="s">
        <v>9</v>
      </c>
      <c r="B18" s="134" t="s">
        <v>352</v>
      </c>
      <c r="C18" s="467"/>
      <c r="D18" s="444"/>
      <c r="E18" s="446"/>
      <c r="F18" s="441"/>
      <c r="G18" s="441"/>
      <c r="H18" s="441"/>
      <c r="I18" s="441"/>
      <c r="J18" s="475"/>
      <c r="K18" s="476"/>
      <c r="L18" s="482"/>
      <c r="M18" s="483"/>
      <c r="N18" s="484"/>
      <c r="O18" s="441"/>
      <c r="P18" s="454"/>
      <c r="Q18" s="454"/>
      <c r="R18" s="454"/>
      <c r="S18" s="133"/>
    </row>
    <row r="19" spans="1:20">
      <c r="A19" s="135"/>
      <c r="B19" s="134"/>
      <c r="C19" s="467"/>
      <c r="D19" s="444"/>
      <c r="E19" s="446"/>
      <c r="F19" s="441"/>
      <c r="G19" s="441"/>
      <c r="H19" s="441"/>
      <c r="I19" s="441"/>
      <c r="J19" s="475"/>
      <c r="K19" s="476"/>
      <c r="L19" s="482"/>
      <c r="M19" s="483"/>
      <c r="N19" s="484"/>
      <c r="O19" s="441"/>
      <c r="P19" s="454"/>
      <c r="Q19" s="454"/>
      <c r="R19" s="454"/>
      <c r="S19" s="133"/>
    </row>
    <row r="20" spans="1:20">
      <c r="A20" s="135"/>
      <c r="B20" s="134"/>
      <c r="C20" s="468"/>
      <c r="D20" s="444"/>
      <c r="E20" s="447"/>
      <c r="F20" s="442"/>
      <c r="G20" s="442"/>
      <c r="H20" s="442"/>
      <c r="I20" s="442"/>
      <c r="J20" s="477"/>
      <c r="K20" s="478"/>
      <c r="L20" s="485"/>
      <c r="M20" s="486"/>
      <c r="N20" s="487"/>
      <c r="O20" s="442"/>
      <c r="P20" s="454"/>
      <c r="Q20" s="454"/>
      <c r="R20" s="454"/>
      <c r="S20" s="133"/>
    </row>
    <row r="21" spans="1:20">
      <c r="A21" s="132">
        <v>1</v>
      </c>
      <c r="B21" s="130">
        <v>2</v>
      </c>
      <c r="C21" s="131">
        <v>3</v>
      </c>
      <c r="D21" s="130">
        <v>4</v>
      </c>
      <c r="E21" s="129">
        <v>5</v>
      </c>
      <c r="F21" s="128" t="s">
        <v>16</v>
      </c>
      <c r="G21" s="128" t="s">
        <v>351</v>
      </c>
      <c r="H21" s="128" t="s">
        <v>350</v>
      </c>
      <c r="I21" s="460" t="s">
        <v>349</v>
      </c>
      <c r="J21" s="461"/>
      <c r="K21" s="489"/>
      <c r="L21" s="451" t="s">
        <v>348</v>
      </c>
      <c r="M21" s="452"/>
      <c r="N21" s="453"/>
      <c r="O21" s="128" t="s">
        <v>347</v>
      </c>
      <c r="P21" s="127" t="s">
        <v>346</v>
      </c>
      <c r="Q21" s="471" t="s">
        <v>345</v>
      </c>
      <c r="R21" s="471"/>
      <c r="S21" s="126"/>
    </row>
    <row r="22" spans="1:20">
      <c r="A22" s="123" t="s">
        <v>28</v>
      </c>
      <c r="B22" s="95" t="s">
        <v>29</v>
      </c>
      <c r="C22" s="95" t="s">
        <v>344</v>
      </c>
      <c r="D22" s="95"/>
      <c r="E22" s="95"/>
      <c r="F22" s="125">
        <f>F45+F47+F49+F51+F59+F63+F67+F69+F71+F73+F87+F91+F96+F98+F100</f>
        <v>14690600</v>
      </c>
      <c r="G22" s="125">
        <f>G45+G47+G49+G51+G59+G63+G67+G69+G71+G73+G87+G91+G96+G98+G100</f>
        <v>14013472.950000003</v>
      </c>
      <c r="H22" s="125">
        <f>H45+H49+H51+H59+H63+H67+H69+H71+H73+H87+H91+H96+H98+H100+H47</f>
        <v>14013472.950000003</v>
      </c>
      <c r="I22" s="472"/>
      <c r="J22" s="472"/>
      <c r="K22" s="472"/>
      <c r="L22" s="472"/>
      <c r="M22" s="472"/>
      <c r="N22" s="472"/>
      <c r="O22" s="125">
        <f>O45+O49+O51+O59+O63+O67+O69+O71+O73+O87+O91+O96+O98+O100+O47</f>
        <v>14013472.950000003</v>
      </c>
      <c r="P22" s="125">
        <f>P45+P47+P49+P51+P59+P63+P67+P69+P71+P73+P87+P91+P96+P98+P100</f>
        <v>677127.05000000028</v>
      </c>
      <c r="Q22" s="469"/>
      <c r="R22" s="469"/>
      <c r="S22" s="124"/>
    </row>
    <row r="23" spans="1:20" s="86" customFormat="1">
      <c r="A23" s="123" t="s">
        <v>17</v>
      </c>
      <c r="B23" s="95"/>
      <c r="C23" s="95"/>
      <c r="D23" s="95"/>
      <c r="E23" s="95"/>
      <c r="F23" s="91"/>
      <c r="G23" s="91"/>
      <c r="H23" s="91"/>
      <c r="I23" s="465"/>
      <c r="J23" s="465"/>
      <c r="K23" s="465"/>
      <c r="L23" s="465"/>
      <c r="M23" s="465"/>
      <c r="N23" s="465"/>
      <c r="O23" s="92"/>
      <c r="P23" s="91"/>
      <c r="Q23" s="470"/>
      <c r="R23" s="470"/>
      <c r="S23" s="88"/>
      <c r="T23" s="73"/>
    </row>
    <row r="24" spans="1:20" s="86" customFormat="1" ht="12.75" customHeight="1">
      <c r="A24" s="97" t="s">
        <v>341</v>
      </c>
      <c r="B24" s="95"/>
      <c r="C24" s="96" t="s">
        <v>93</v>
      </c>
      <c r="D24" s="95" t="s">
        <v>314</v>
      </c>
      <c r="E24" s="95" t="s">
        <v>287</v>
      </c>
      <c r="F24" s="91">
        <f>3256100</f>
        <v>3256100</v>
      </c>
      <c r="G24" s="91">
        <f>2319447.17+161227.82+33200+9908.16+1480+10264.08+1534+101324.61+32280.6+144488.94+44444+344409.18+51463+628.44</f>
        <v>3256100</v>
      </c>
      <c r="H24" s="91">
        <f t="shared" ref="H24:H44" si="0">G24</f>
        <v>3256100</v>
      </c>
      <c r="I24" s="465"/>
      <c r="J24" s="465"/>
      <c r="K24" s="465"/>
      <c r="L24" s="465"/>
      <c r="M24" s="465"/>
      <c r="N24" s="465"/>
      <c r="O24" s="92">
        <f t="shared" ref="O24:O44" si="1">H24</f>
        <v>3256100</v>
      </c>
      <c r="P24" s="91">
        <f t="shared" ref="P24:P44" si="2">F24-G24-I24</f>
        <v>0</v>
      </c>
      <c r="Q24" s="488"/>
      <c r="R24" s="488"/>
      <c r="S24" s="88"/>
      <c r="T24" s="87" t="s">
        <v>343</v>
      </c>
    </row>
    <row r="25" spans="1:20" s="86" customFormat="1" ht="12.75" customHeight="1">
      <c r="A25" s="97" t="s">
        <v>337</v>
      </c>
      <c r="B25" s="95"/>
      <c r="C25" s="96" t="s">
        <v>94</v>
      </c>
      <c r="D25" s="95" t="s">
        <v>313</v>
      </c>
      <c r="E25" s="95" t="s">
        <v>287</v>
      </c>
      <c r="F25" s="92">
        <f>1061200</f>
        <v>1061200</v>
      </c>
      <c r="G25" s="91">
        <f>710778.98+57729.63+7609.81+13382.78+524.82+89679.94+20789.44+11821.46+818.25+87091.98+20189.51+11480.3+791.75</f>
        <v>1032688.6499999999</v>
      </c>
      <c r="H25" s="91">
        <f t="shared" si="0"/>
        <v>1032688.6499999999</v>
      </c>
      <c r="I25" s="433"/>
      <c r="J25" s="434"/>
      <c r="K25" s="91"/>
      <c r="L25" s="433"/>
      <c r="M25" s="434"/>
      <c r="N25" s="91"/>
      <c r="O25" s="92">
        <f t="shared" si="1"/>
        <v>1032688.6499999999</v>
      </c>
      <c r="P25" s="91">
        <f t="shared" si="2"/>
        <v>28511.350000000093</v>
      </c>
      <c r="Q25" s="122"/>
      <c r="R25" s="122"/>
      <c r="S25" s="88"/>
      <c r="T25" s="87"/>
    </row>
    <row r="26" spans="1:20" s="86" customFormat="1" ht="12.75" customHeight="1">
      <c r="A26" s="97" t="s">
        <v>339</v>
      </c>
      <c r="B26" s="95"/>
      <c r="C26" s="96" t="s">
        <v>95</v>
      </c>
      <c r="D26" s="95" t="s">
        <v>338</v>
      </c>
      <c r="E26" s="95" t="s">
        <v>287</v>
      </c>
      <c r="F26" s="91">
        <v>257700</v>
      </c>
      <c r="G26" s="91">
        <f>181672.98+51730.65+7730</f>
        <v>241133.63</v>
      </c>
      <c r="H26" s="91">
        <f t="shared" si="0"/>
        <v>241133.63</v>
      </c>
      <c r="I26" s="465"/>
      <c r="J26" s="465"/>
      <c r="K26" s="465"/>
      <c r="L26" s="465"/>
      <c r="M26" s="465"/>
      <c r="N26" s="465"/>
      <c r="O26" s="92">
        <f t="shared" si="1"/>
        <v>241133.63</v>
      </c>
      <c r="P26" s="91">
        <f t="shared" si="2"/>
        <v>16566.369999999995</v>
      </c>
      <c r="Q26" s="488"/>
      <c r="R26" s="488"/>
      <c r="S26" s="88"/>
      <c r="T26" s="87" t="s">
        <v>342</v>
      </c>
    </row>
    <row r="27" spans="1:20" s="86" customFormat="1" ht="12.75" customHeight="1">
      <c r="A27" s="97" t="s">
        <v>341</v>
      </c>
      <c r="B27" s="95"/>
      <c r="C27" s="96" t="s">
        <v>93</v>
      </c>
      <c r="D27" s="95" t="s">
        <v>314</v>
      </c>
      <c r="E27" s="95" t="s">
        <v>306</v>
      </c>
      <c r="F27" s="91">
        <f>20000-1845</f>
        <v>18155</v>
      </c>
      <c r="G27" s="91">
        <f>15268.64+1139.2+140+1607.16</f>
        <v>18155</v>
      </c>
      <c r="H27" s="91">
        <f t="shared" si="0"/>
        <v>18155</v>
      </c>
      <c r="I27" s="465"/>
      <c r="J27" s="465"/>
      <c r="K27" s="465"/>
      <c r="L27" s="465"/>
      <c r="M27" s="465"/>
      <c r="N27" s="465"/>
      <c r="O27" s="92">
        <f t="shared" si="1"/>
        <v>18155</v>
      </c>
      <c r="P27" s="91">
        <f t="shared" si="2"/>
        <v>0</v>
      </c>
      <c r="Q27" s="488"/>
      <c r="R27" s="488"/>
      <c r="S27" s="88"/>
      <c r="T27" s="87" t="s">
        <v>340</v>
      </c>
    </row>
    <row r="28" spans="1:20" s="86" customFormat="1" ht="12.75" customHeight="1">
      <c r="A28" s="97" t="s">
        <v>339</v>
      </c>
      <c r="B28" s="95"/>
      <c r="C28" s="96" t="s">
        <v>95</v>
      </c>
      <c r="D28" s="95" t="s">
        <v>338</v>
      </c>
      <c r="E28" s="95" t="s">
        <v>306</v>
      </c>
      <c r="F28" s="92">
        <f>500+1775</f>
        <v>2275</v>
      </c>
      <c r="G28" s="91">
        <v>2275</v>
      </c>
      <c r="H28" s="91">
        <f t="shared" si="0"/>
        <v>2275</v>
      </c>
      <c r="I28" s="433"/>
      <c r="J28" s="434"/>
      <c r="K28" s="91"/>
      <c r="L28" s="92"/>
      <c r="M28" s="93"/>
      <c r="N28" s="91"/>
      <c r="O28" s="92">
        <f t="shared" si="1"/>
        <v>2275</v>
      </c>
      <c r="P28" s="91">
        <f t="shared" si="2"/>
        <v>0</v>
      </c>
      <c r="Q28" s="122"/>
      <c r="R28" s="122"/>
      <c r="S28" s="88"/>
      <c r="T28" s="87"/>
    </row>
    <row r="29" spans="1:20" s="86" customFormat="1" ht="10.5" customHeight="1">
      <c r="A29" s="97" t="s">
        <v>337</v>
      </c>
      <c r="B29" s="95"/>
      <c r="C29" s="96" t="s">
        <v>94</v>
      </c>
      <c r="D29" s="95" t="s">
        <v>313</v>
      </c>
      <c r="E29" s="95" t="s">
        <v>306</v>
      </c>
      <c r="F29" s="92">
        <f>6100+70</f>
        <v>6170</v>
      </c>
      <c r="G29" s="91">
        <f>4681.36+230.17+30.61+53.36+2.09+1172.41</f>
        <v>6169.9999999999991</v>
      </c>
      <c r="H29" s="91">
        <f t="shared" si="0"/>
        <v>6169.9999999999991</v>
      </c>
      <c r="I29" s="433"/>
      <c r="J29" s="434"/>
      <c r="K29" s="91"/>
      <c r="L29" s="433"/>
      <c r="M29" s="434"/>
      <c r="N29" s="91"/>
      <c r="O29" s="92">
        <f t="shared" si="1"/>
        <v>6169.9999999999991</v>
      </c>
      <c r="P29" s="91">
        <f t="shared" si="2"/>
        <v>9.0949470177292824E-13</v>
      </c>
      <c r="Q29" s="122"/>
      <c r="R29" s="122"/>
      <c r="S29" s="88"/>
      <c r="T29" s="87"/>
    </row>
    <row r="30" spans="1:20" s="86" customFormat="1" ht="12.75" customHeight="1">
      <c r="A30" s="97" t="s">
        <v>336</v>
      </c>
      <c r="B30" s="95"/>
      <c r="C30" s="96" t="s">
        <v>96</v>
      </c>
      <c r="D30" s="95" t="s">
        <v>335</v>
      </c>
      <c r="E30" s="95" t="s">
        <v>287</v>
      </c>
      <c r="F30" s="92">
        <f>100000+32000</f>
        <v>132000</v>
      </c>
      <c r="G30" s="91">
        <f>108217.02+7900+2150.04+6400+430.01</f>
        <v>125097.06999999999</v>
      </c>
      <c r="H30" s="91">
        <f t="shared" si="0"/>
        <v>125097.06999999999</v>
      </c>
      <c r="I30" s="433"/>
      <c r="J30" s="434"/>
      <c r="K30" s="91"/>
      <c r="L30" s="433"/>
      <c r="M30" s="434"/>
      <c r="N30" s="91"/>
      <c r="O30" s="92">
        <f t="shared" si="1"/>
        <v>125097.06999999999</v>
      </c>
      <c r="P30" s="91">
        <f t="shared" si="2"/>
        <v>6902.9300000000076</v>
      </c>
      <c r="Q30" s="122"/>
      <c r="R30" s="122"/>
      <c r="S30" s="88"/>
      <c r="T30" s="87"/>
    </row>
    <row r="31" spans="1:20" s="86" customFormat="1" ht="12.75" customHeight="1">
      <c r="A31" s="97" t="s">
        <v>82</v>
      </c>
      <c r="B31" s="95"/>
      <c r="C31" s="96" t="s">
        <v>123</v>
      </c>
      <c r="D31" s="95" t="s">
        <v>302</v>
      </c>
      <c r="E31" s="95" t="s">
        <v>287</v>
      </c>
      <c r="F31" s="92">
        <f>122000-19100</f>
        <v>102900</v>
      </c>
      <c r="G31" s="91">
        <f>81316.33+3237.68+2179.42+4900</f>
        <v>91633.43</v>
      </c>
      <c r="H31" s="91">
        <f t="shared" si="0"/>
        <v>91633.43</v>
      </c>
      <c r="I31" s="433"/>
      <c r="J31" s="434"/>
      <c r="K31" s="91"/>
      <c r="L31" s="92"/>
      <c r="M31" s="93"/>
      <c r="N31" s="91"/>
      <c r="O31" s="92">
        <f t="shared" si="1"/>
        <v>91633.43</v>
      </c>
      <c r="P31" s="91">
        <f t="shared" si="2"/>
        <v>11266.570000000007</v>
      </c>
      <c r="Q31" s="90"/>
      <c r="R31" s="122"/>
      <c r="S31" s="88"/>
      <c r="T31" s="87"/>
    </row>
    <row r="32" spans="1:20" s="86" customFormat="1" ht="12.75" customHeight="1">
      <c r="A32" s="97" t="s">
        <v>82</v>
      </c>
      <c r="B32" s="95"/>
      <c r="C32" s="96" t="s">
        <v>96</v>
      </c>
      <c r="D32" s="95" t="s">
        <v>302</v>
      </c>
      <c r="E32" s="95" t="s">
        <v>287</v>
      </c>
      <c r="F32" s="92">
        <f>19100+60</f>
        <v>19160</v>
      </c>
      <c r="G32" s="91">
        <f>15893.96+1632.08+1632.08</f>
        <v>19158.120000000003</v>
      </c>
      <c r="H32" s="91">
        <f t="shared" si="0"/>
        <v>19158.120000000003</v>
      </c>
      <c r="I32" s="433"/>
      <c r="J32" s="434"/>
      <c r="K32" s="91"/>
      <c r="L32" s="92"/>
      <c r="M32" s="93"/>
      <c r="N32" s="91"/>
      <c r="O32" s="92">
        <f t="shared" si="1"/>
        <v>19158.120000000003</v>
      </c>
      <c r="P32" s="91">
        <f t="shared" si="2"/>
        <v>1.8799999999973807</v>
      </c>
      <c r="Q32" s="90"/>
      <c r="R32" s="122"/>
      <c r="S32" s="88"/>
      <c r="T32" s="87"/>
    </row>
    <row r="33" spans="1:20" s="86" customFormat="1" ht="12.75" customHeight="1">
      <c r="A33" s="97" t="s">
        <v>83</v>
      </c>
      <c r="B33" s="95"/>
      <c r="C33" s="96" t="s">
        <v>96</v>
      </c>
      <c r="D33" s="110" t="s">
        <v>300</v>
      </c>
      <c r="E33" s="95" t="s">
        <v>287</v>
      </c>
      <c r="F33" s="92">
        <f>165400+6720+5000</f>
        <v>177120</v>
      </c>
      <c r="G33" s="91">
        <f>160579.25+9950+5000+382.25+6</f>
        <v>175917.5</v>
      </c>
      <c r="H33" s="91">
        <f t="shared" si="0"/>
        <v>175917.5</v>
      </c>
      <c r="I33" s="433"/>
      <c r="J33" s="434"/>
      <c r="K33" s="91"/>
      <c r="L33" s="433"/>
      <c r="M33" s="434"/>
      <c r="N33" s="91"/>
      <c r="O33" s="92">
        <f t="shared" si="1"/>
        <v>175917.5</v>
      </c>
      <c r="P33" s="91">
        <f t="shared" si="2"/>
        <v>1202.5</v>
      </c>
      <c r="Q33" s="90"/>
      <c r="R33" s="89"/>
      <c r="S33" s="88"/>
      <c r="T33" s="87"/>
    </row>
    <row r="34" spans="1:20" s="86" customFormat="1" ht="12.75" customHeight="1">
      <c r="A34" s="97" t="s">
        <v>83</v>
      </c>
      <c r="B34" s="95"/>
      <c r="C34" s="96" t="s">
        <v>96</v>
      </c>
      <c r="D34" s="110" t="s">
        <v>300</v>
      </c>
      <c r="E34" s="95" t="s">
        <v>293</v>
      </c>
      <c r="F34" s="92">
        <v>46500</v>
      </c>
      <c r="G34" s="91">
        <f>44888.25+1000+611.75</f>
        <v>46500</v>
      </c>
      <c r="H34" s="91">
        <f t="shared" si="0"/>
        <v>46500</v>
      </c>
      <c r="I34" s="429"/>
      <c r="J34" s="435"/>
      <c r="K34" s="91"/>
      <c r="L34" s="429"/>
      <c r="M34" s="435"/>
      <c r="N34" s="91"/>
      <c r="O34" s="92">
        <f t="shared" si="1"/>
        <v>46500</v>
      </c>
      <c r="P34" s="91">
        <f t="shared" si="2"/>
        <v>0</v>
      </c>
      <c r="Q34" s="90"/>
      <c r="R34" s="89"/>
      <c r="S34" s="88"/>
      <c r="T34" s="87"/>
    </row>
    <row r="35" spans="1:20" s="86" customFormat="1" ht="13.5" customHeight="1">
      <c r="A35" s="97" t="s">
        <v>84</v>
      </c>
      <c r="B35" s="95"/>
      <c r="C35" s="96" t="s">
        <v>96</v>
      </c>
      <c r="D35" s="110" t="s">
        <v>298</v>
      </c>
      <c r="E35" s="95" t="s">
        <v>287</v>
      </c>
      <c r="F35" s="92">
        <f>177650+2500</f>
        <v>180150</v>
      </c>
      <c r="G35" s="91">
        <f>171648.55+2498.58+6000</f>
        <v>180147.12999999998</v>
      </c>
      <c r="H35" s="91">
        <f t="shared" si="0"/>
        <v>180147.12999999998</v>
      </c>
      <c r="I35" s="429"/>
      <c r="J35" s="435"/>
      <c r="K35" s="91"/>
      <c r="L35" s="92"/>
      <c r="M35" s="93"/>
      <c r="N35" s="91"/>
      <c r="O35" s="92">
        <f t="shared" si="1"/>
        <v>180147.12999999998</v>
      </c>
      <c r="P35" s="91">
        <f t="shared" si="2"/>
        <v>2.8700000000244472</v>
      </c>
      <c r="Q35" s="90"/>
      <c r="R35" s="89"/>
      <c r="S35" s="88"/>
      <c r="T35" s="87"/>
    </row>
    <row r="36" spans="1:20" s="86" customFormat="1" ht="22.5" customHeight="1">
      <c r="A36" s="97" t="s">
        <v>334</v>
      </c>
      <c r="B36" s="95"/>
      <c r="C36" s="96" t="s">
        <v>96</v>
      </c>
      <c r="D36" s="95" t="s">
        <v>333</v>
      </c>
      <c r="E36" s="95" t="s">
        <v>287</v>
      </c>
      <c r="F36" s="92">
        <f>304000-11270</f>
        <v>292730</v>
      </c>
      <c r="G36" s="91">
        <f>207150+48000</f>
        <v>255150</v>
      </c>
      <c r="H36" s="91">
        <f t="shared" si="0"/>
        <v>255150</v>
      </c>
      <c r="I36" s="429"/>
      <c r="J36" s="435"/>
      <c r="K36" s="91"/>
      <c r="L36" s="92"/>
      <c r="M36" s="93"/>
      <c r="N36" s="91"/>
      <c r="O36" s="92">
        <f t="shared" si="1"/>
        <v>255150</v>
      </c>
      <c r="P36" s="91">
        <f t="shared" si="2"/>
        <v>37580</v>
      </c>
      <c r="Q36" s="90"/>
      <c r="R36" s="89"/>
      <c r="S36" s="88"/>
      <c r="T36" s="87"/>
    </row>
    <row r="37" spans="1:20" s="86" customFormat="1" ht="27" customHeight="1">
      <c r="A37" s="97" t="s">
        <v>312</v>
      </c>
      <c r="B37" s="95"/>
      <c r="C37" s="96" t="s">
        <v>96</v>
      </c>
      <c r="D37" s="110" t="s">
        <v>288</v>
      </c>
      <c r="E37" s="95" t="s">
        <v>287</v>
      </c>
      <c r="F37" s="92">
        <f>200000-30000+10</f>
        <v>170010</v>
      </c>
      <c r="G37" s="91">
        <f>74295+45037+50677</f>
        <v>170009</v>
      </c>
      <c r="H37" s="91">
        <f t="shared" si="0"/>
        <v>170009</v>
      </c>
      <c r="I37" s="92"/>
      <c r="J37" s="93"/>
      <c r="K37" s="91"/>
      <c r="L37" s="92"/>
      <c r="M37" s="93"/>
      <c r="N37" s="91"/>
      <c r="O37" s="92">
        <f t="shared" si="1"/>
        <v>170009</v>
      </c>
      <c r="P37" s="91">
        <f t="shared" si="2"/>
        <v>1</v>
      </c>
      <c r="Q37" s="90"/>
      <c r="R37" s="89"/>
      <c r="S37" s="88"/>
      <c r="T37" s="87"/>
    </row>
    <row r="38" spans="1:20" s="86" customFormat="1" ht="12.75" customHeight="1">
      <c r="A38" s="97" t="s">
        <v>87</v>
      </c>
      <c r="B38" s="95"/>
      <c r="C38" s="96" t="s">
        <v>332</v>
      </c>
      <c r="D38" s="95" t="s">
        <v>318</v>
      </c>
      <c r="E38" s="95" t="s">
        <v>287</v>
      </c>
      <c r="F38" s="92">
        <f>6000-2410</f>
        <v>3590</v>
      </c>
      <c r="G38" s="91">
        <v>3590</v>
      </c>
      <c r="H38" s="91">
        <f t="shared" si="0"/>
        <v>3590</v>
      </c>
      <c r="I38" s="433"/>
      <c r="J38" s="434"/>
      <c r="K38" s="91"/>
      <c r="L38" s="433"/>
      <c r="M38" s="434"/>
      <c r="N38" s="91"/>
      <c r="O38" s="92">
        <f t="shared" si="1"/>
        <v>3590</v>
      </c>
      <c r="P38" s="91">
        <f t="shared" si="2"/>
        <v>0</v>
      </c>
      <c r="Q38" s="90"/>
      <c r="R38" s="89"/>
      <c r="S38" s="88"/>
      <c r="T38" s="87"/>
    </row>
    <row r="39" spans="1:20" s="86" customFormat="1" ht="12.75" customHeight="1">
      <c r="A39" s="97" t="s">
        <v>87</v>
      </c>
      <c r="B39" s="95"/>
      <c r="C39" s="96" t="s">
        <v>332</v>
      </c>
      <c r="D39" s="95" t="s">
        <v>318</v>
      </c>
      <c r="E39" s="95" t="s">
        <v>293</v>
      </c>
      <c r="F39" s="92">
        <v>10000</v>
      </c>
      <c r="G39" s="91">
        <f>8460.79+672.16</f>
        <v>9132.9500000000007</v>
      </c>
      <c r="H39" s="91">
        <f t="shared" si="0"/>
        <v>9132.9500000000007</v>
      </c>
      <c r="I39" s="92"/>
      <c r="J39" s="94"/>
      <c r="K39" s="93"/>
      <c r="L39" s="92"/>
      <c r="M39" s="94"/>
      <c r="N39" s="93"/>
      <c r="O39" s="92">
        <f t="shared" si="1"/>
        <v>9132.9500000000007</v>
      </c>
      <c r="P39" s="91">
        <f t="shared" si="2"/>
        <v>867.04999999999927</v>
      </c>
      <c r="Q39" s="90"/>
      <c r="R39" s="89"/>
      <c r="S39" s="88"/>
      <c r="T39" s="87"/>
    </row>
    <row r="40" spans="1:20" s="86" customFormat="1" ht="12.75" customHeight="1">
      <c r="A40" s="97" t="s">
        <v>331</v>
      </c>
      <c r="B40" s="95"/>
      <c r="C40" s="96" t="s">
        <v>97</v>
      </c>
      <c r="D40" s="110" t="s">
        <v>298</v>
      </c>
      <c r="E40" s="95" t="s">
        <v>287</v>
      </c>
      <c r="F40" s="92">
        <f>45000-6000</f>
        <v>39000</v>
      </c>
      <c r="G40" s="91">
        <v>39000</v>
      </c>
      <c r="H40" s="91">
        <f t="shared" si="0"/>
        <v>39000</v>
      </c>
      <c r="I40" s="92"/>
      <c r="J40" s="94"/>
      <c r="K40" s="93"/>
      <c r="L40" s="92"/>
      <c r="M40" s="94"/>
      <c r="N40" s="93"/>
      <c r="O40" s="92">
        <f t="shared" si="1"/>
        <v>39000</v>
      </c>
      <c r="P40" s="91">
        <f t="shared" si="2"/>
        <v>0</v>
      </c>
      <c r="Q40" s="90"/>
      <c r="R40" s="89"/>
      <c r="S40" s="88"/>
      <c r="T40" s="87"/>
    </row>
    <row r="41" spans="1:20" s="86" customFormat="1" ht="0.75" customHeight="1">
      <c r="A41" s="97" t="s">
        <v>330</v>
      </c>
      <c r="B41" s="95"/>
      <c r="C41" s="96" t="s">
        <v>96</v>
      </c>
      <c r="D41" s="95" t="s">
        <v>309</v>
      </c>
      <c r="E41" s="95" t="s">
        <v>287</v>
      </c>
      <c r="F41" s="92"/>
      <c r="G41" s="91"/>
      <c r="H41" s="91">
        <f t="shared" si="0"/>
        <v>0</v>
      </c>
      <c r="I41" s="92"/>
      <c r="J41" s="94"/>
      <c r="K41" s="93"/>
      <c r="L41" s="92"/>
      <c r="M41" s="94"/>
      <c r="N41" s="93"/>
      <c r="O41" s="92">
        <f t="shared" si="1"/>
        <v>0</v>
      </c>
      <c r="P41" s="91">
        <f t="shared" si="2"/>
        <v>0</v>
      </c>
      <c r="Q41" s="90"/>
      <c r="R41" s="89"/>
      <c r="S41" s="88"/>
      <c r="T41" s="87"/>
    </row>
    <row r="42" spans="1:20" s="86" customFormat="1" ht="12.75" customHeight="1">
      <c r="A42" s="97" t="s">
        <v>330</v>
      </c>
      <c r="B42" s="95"/>
      <c r="C42" s="96" t="s">
        <v>96</v>
      </c>
      <c r="D42" s="95" t="s">
        <v>309</v>
      </c>
      <c r="E42" s="95" t="s">
        <v>293</v>
      </c>
      <c r="F42" s="92">
        <f>40000+20000</f>
        <v>60000</v>
      </c>
      <c r="G42" s="91">
        <v>49999</v>
      </c>
      <c r="H42" s="91">
        <f t="shared" si="0"/>
        <v>49999</v>
      </c>
      <c r="I42" s="429"/>
      <c r="J42" s="430"/>
      <c r="K42" s="93"/>
      <c r="L42" s="92"/>
      <c r="M42" s="94"/>
      <c r="N42" s="93"/>
      <c r="O42" s="92">
        <f t="shared" si="1"/>
        <v>49999</v>
      </c>
      <c r="P42" s="91">
        <f t="shared" si="2"/>
        <v>10001</v>
      </c>
      <c r="Q42" s="90"/>
      <c r="R42" s="89"/>
      <c r="S42" s="88"/>
      <c r="T42" s="87"/>
    </row>
    <row r="43" spans="1:20" s="86" customFormat="1" ht="24.75" customHeight="1">
      <c r="A43" s="97" t="str">
        <f>A37</f>
        <v>Увеличение стоимости прочих оборотных запасов (материалов)</v>
      </c>
      <c r="B43" s="95"/>
      <c r="C43" s="96" t="s">
        <v>98</v>
      </c>
      <c r="D43" s="95" t="s">
        <v>288</v>
      </c>
      <c r="E43" s="95" t="s">
        <v>329</v>
      </c>
      <c r="F43" s="92">
        <v>200</v>
      </c>
      <c r="G43" s="91">
        <v>200</v>
      </c>
      <c r="H43" s="91">
        <f t="shared" si="0"/>
        <v>200</v>
      </c>
      <c r="I43" s="92"/>
      <c r="J43" s="94"/>
      <c r="K43" s="93"/>
      <c r="L43" s="92"/>
      <c r="M43" s="94"/>
      <c r="N43" s="93"/>
      <c r="O43" s="92">
        <f t="shared" si="1"/>
        <v>200</v>
      </c>
      <c r="P43" s="91">
        <f t="shared" si="2"/>
        <v>0</v>
      </c>
      <c r="Q43" s="90"/>
      <c r="R43" s="89"/>
      <c r="S43" s="88"/>
      <c r="T43" s="87"/>
    </row>
    <row r="44" spans="1:20" s="86" customFormat="1" ht="13.5" customHeight="1">
      <c r="A44" s="97" t="s">
        <v>328</v>
      </c>
      <c r="B44" s="95"/>
      <c r="C44" s="96" t="s">
        <v>124</v>
      </c>
      <c r="D44" s="95" t="s">
        <v>316</v>
      </c>
      <c r="E44" s="95" t="s">
        <v>287</v>
      </c>
      <c r="F44" s="92">
        <f>25923+6977-6900</f>
        <v>26000</v>
      </c>
      <c r="G44" s="92">
        <f>20314+5676.86</f>
        <v>25990.86</v>
      </c>
      <c r="H44" s="91">
        <f t="shared" si="0"/>
        <v>25990.86</v>
      </c>
      <c r="I44" s="92"/>
      <c r="J44" s="94"/>
      <c r="K44" s="93"/>
      <c r="L44" s="92"/>
      <c r="M44" s="94"/>
      <c r="N44" s="93"/>
      <c r="O44" s="92">
        <f t="shared" si="1"/>
        <v>25990.86</v>
      </c>
      <c r="P44" s="91">
        <f t="shared" si="2"/>
        <v>9.1399999999994179</v>
      </c>
      <c r="Q44" s="90"/>
      <c r="R44" s="89"/>
      <c r="S44" s="88"/>
      <c r="T44" s="87"/>
    </row>
    <row r="45" spans="1:20" s="86" customFormat="1" ht="16.5" customHeight="1">
      <c r="A45" s="107" t="s">
        <v>327</v>
      </c>
      <c r="B45" s="117"/>
      <c r="C45" s="118"/>
      <c r="D45" s="117"/>
      <c r="E45" s="117"/>
      <c r="F45" s="104">
        <f>SUM(F24:F44)</f>
        <v>5860960</v>
      </c>
      <c r="G45" s="104">
        <f>SUM(G24:G44)</f>
        <v>5748047.3400000008</v>
      </c>
      <c r="H45" s="104">
        <f>SUM(H24:H44)</f>
        <v>5748047.3400000008</v>
      </c>
      <c r="I45" s="431"/>
      <c r="J45" s="464"/>
      <c r="K45" s="432"/>
      <c r="L45" s="431"/>
      <c r="M45" s="464"/>
      <c r="N45" s="432"/>
      <c r="O45" s="104">
        <f>SUM(O24:O44)</f>
        <v>5748047.3400000008</v>
      </c>
      <c r="P45" s="103">
        <f>SUM(P24:P44)</f>
        <v>112912.66000000012</v>
      </c>
      <c r="Q45" s="116"/>
      <c r="R45" s="89"/>
      <c r="S45" s="88"/>
      <c r="T45" s="87"/>
    </row>
    <row r="46" spans="1:20" s="108" customFormat="1" ht="15.75" customHeight="1">
      <c r="A46" s="97" t="s">
        <v>85</v>
      </c>
      <c r="B46" s="121"/>
      <c r="C46" s="96" t="s">
        <v>125</v>
      </c>
      <c r="D46" s="95" t="s">
        <v>316</v>
      </c>
      <c r="E46" s="95" t="s">
        <v>287</v>
      </c>
      <c r="F46" s="92">
        <f>69000+1500</f>
        <v>70500</v>
      </c>
      <c r="G46" s="92">
        <f>52100+18400</f>
        <v>70500</v>
      </c>
      <c r="H46" s="92">
        <f>G46</f>
        <v>70500</v>
      </c>
      <c r="I46" s="429"/>
      <c r="J46" s="430"/>
      <c r="K46" s="93"/>
      <c r="L46" s="92"/>
      <c r="M46" s="94"/>
      <c r="N46" s="93"/>
      <c r="O46" s="92">
        <f>G46</f>
        <v>70500</v>
      </c>
      <c r="P46" s="91">
        <f>F46-G46</f>
        <v>0</v>
      </c>
      <c r="Q46" s="120"/>
      <c r="R46" s="89"/>
      <c r="S46" s="88"/>
      <c r="T46" s="109"/>
    </row>
    <row r="47" spans="1:20" s="98" customFormat="1" ht="15" customHeight="1">
      <c r="A47" s="107" t="s">
        <v>326</v>
      </c>
      <c r="B47" s="117"/>
      <c r="C47" s="118"/>
      <c r="D47" s="117"/>
      <c r="E47" s="117"/>
      <c r="F47" s="104">
        <f>F46</f>
        <v>70500</v>
      </c>
      <c r="G47" s="104">
        <f>G46</f>
        <v>70500</v>
      </c>
      <c r="H47" s="104">
        <f>H46</f>
        <v>70500</v>
      </c>
      <c r="I47" s="104"/>
      <c r="J47" s="112"/>
      <c r="K47" s="111"/>
      <c r="L47" s="104"/>
      <c r="M47" s="112"/>
      <c r="N47" s="111"/>
      <c r="O47" s="104">
        <f>O46</f>
        <v>70500</v>
      </c>
      <c r="P47" s="103">
        <f>P46</f>
        <v>0</v>
      </c>
      <c r="Q47" s="116"/>
      <c r="R47" s="101"/>
      <c r="S47" s="100"/>
      <c r="T47" s="99"/>
    </row>
    <row r="48" spans="1:20" s="86" customFormat="1" ht="17.25" customHeight="1">
      <c r="A48" s="97" t="s">
        <v>325</v>
      </c>
      <c r="B48" s="117"/>
      <c r="C48" s="96" t="s">
        <v>120</v>
      </c>
      <c r="D48" s="95" t="s">
        <v>317</v>
      </c>
      <c r="E48" s="95" t="s">
        <v>287</v>
      </c>
      <c r="F48" s="119" t="s">
        <v>324</v>
      </c>
      <c r="G48" s="92">
        <v>516300</v>
      </c>
      <c r="H48" s="92">
        <f>G48</f>
        <v>516300</v>
      </c>
      <c r="I48" s="104"/>
      <c r="J48" s="112"/>
      <c r="K48" s="111"/>
      <c r="L48" s="104"/>
      <c r="M48" s="112"/>
      <c r="N48" s="111"/>
      <c r="O48" s="92">
        <f>H48</f>
        <v>516300</v>
      </c>
      <c r="P48" s="91">
        <f>F48-G48</f>
        <v>0</v>
      </c>
      <c r="Q48" s="116"/>
      <c r="R48" s="89"/>
      <c r="S48" s="88"/>
      <c r="T48" s="87"/>
    </row>
    <row r="49" spans="1:20" s="86" customFormat="1" ht="18" customHeight="1">
      <c r="A49" s="107" t="s">
        <v>323</v>
      </c>
      <c r="B49" s="117"/>
      <c r="C49" s="118"/>
      <c r="D49" s="117"/>
      <c r="E49" s="117"/>
      <c r="F49" s="104" t="str">
        <f>F48</f>
        <v>516300,00</v>
      </c>
      <c r="G49" s="104">
        <f>G48</f>
        <v>516300</v>
      </c>
      <c r="H49" s="104">
        <f>H48</f>
        <v>516300</v>
      </c>
      <c r="I49" s="104"/>
      <c r="J49" s="112"/>
      <c r="K49" s="111"/>
      <c r="L49" s="104"/>
      <c r="M49" s="112"/>
      <c r="N49" s="111"/>
      <c r="O49" s="104">
        <f>O48</f>
        <v>516300</v>
      </c>
      <c r="P49" s="103">
        <f>P48</f>
        <v>0</v>
      </c>
      <c r="Q49" s="116"/>
      <c r="R49" s="89"/>
      <c r="S49" s="88"/>
      <c r="T49" s="87"/>
    </row>
    <row r="50" spans="1:20" s="86" customFormat="1" ht="27" customHeight="1">
      <c r="A50" s="97" t="s">
        <v>88</v>
      </c>
      <c r="B50" s="95"/>
      <c r="C50" s="96" t="s">
        <v>99</v>
      </c>
      <c r="D50" s="95" t="s">
        <v>322</v>
      </c>
      <c r="E50" s="95" t="s">
        <v>287</v>
      </c>
      <c r="F50" s="92">
        <v>1000</v>
      </c>
      <c r="G50" s="92">
        <v>0</v>
      </c>
      <c r="H50" s="92">
        <v>0</v>
      </c>
      <c r="I50" s="92"/>
      <c r="J50" s="94"/>
      <c r="K50" s="93"/>
      <c r="L50" s="92"/>
      <c r="M50" s="94"/>
      <c r="N50" s="93"/>
      <c r="O50" s="92">
        <f>G50</f>
        <v>0</v>
      </c>
      <c r="P50" s="91">
        <v>1000</v>
      </c>
      <c r="Q50" s="89"/>
      <c r="R50" s="89"/>
      <c r="S50" s="88"/>
      <c r="T50" s="87"/>
    </row>
    <row r="51" spans="1:20" s="98" customFormat="1" ht="12.75" customHeight="1">
      <c r="A51" s="107" t="s">
        <v>321</v>
      </c>
      <c r="B51" s="105"/>
      <c r="C51" s="106"/>
      <c r="D51" s="105"/>
      <c r="E51" s="105"/>
      <c r="F51" s="104">
        <f>F50</f>
        <v>1000</v>
      </c>
      <c r="G51" s="92">
        <v>0</v>
      </c>
      <c r="H51" s="92">
        <v>0</v>
      </c>
      <c r="I51" s="104"/>
      <c r="J51" s="112"/>
      <c r="K51" s="111"/>
      <c r="L51" s="104"/>
      <c r="M51" s="112"/>
      <c r="N51" s="111"/>
      <c r="O51" s="104">
        <f>O50</f>
        <v>0</v>
      </c>
      <c r="P51" s="103">
        <f>P50</f>
        <v>1000</v>
      </c>
      <c r="Q51" s="101"/>
      <c r="R51" s="101"/>
      <c r="S51" s="100"/>
      <c r="T51" s="99"/>
    </row>
    <row r="52" spans="1:20" s="86" customFormat="1" ht="12.75" customHeight="1">
      <c r="A52" s="97" t="str">
        <f>A35</f>
        <v>Прочие работы, услуги</v>
      </c>
      <c r="B52" s="95"/>
      <c r="C52" s="96" t="s">
        <v>320</v>
      </c>
      <c r="D52" s="110" t="s">
        <v>298</v>
      </c>
      <c r="E52" s="95" t="s">
        <v>287</v>
      </c>
      <c r="F52" s="92">
        <f>26000+30000-5000</f>
        <v>51000</v>
      </c>
      <c r="G52" s="92">
        <f>45440+1290</f>
        <v>46730</v>
      </c>
      <c r="H52" s="92">
        <f>G52</f>
        <v>46730</v>
      </c>
      <c r="I52" s="92"/>
      <c r="J52" s="94"/>
      <c r="K52" s="93"/>
      <c r="L52" s="92"/>
      <c r="M52" s="94"/>
      <c r="N52" s="93"/>
      <c r="O52" s="92">
        <f>H52</f>
        <v>46730</v>
      </c>
      <c r="P52" s="91">
        <f t="shared" ref="P52:P58" si="3">F52-G52</f>
        <v>4270</v>
      </c>
      <c r="Q52" s="90"/>
      <c r="R52" s="89"/>
      <c r="S52" s="88"/>
      <c r="T52" s="87"/>
    </row>
    <row r="53" spans="1:20" s="86" customFormat="1" ht="12.75" customHeight="1">
      <c r="A53" s="97" t="str">
        <f>A38</f>
        <v>Налоги, пошлины и сборы</v>
      </c>
      <c r="B53" s="95"/>
      <c r="C53" s="96" t="s">
        <v>319</v>
      </c>
      <c r="D53" s="95" t="s">
        <v>318</v>
      </c>
      <c r="E53" s="95" t="s">
        <v>287</v>
      </c>
      <c r="F53" s="92">
        <f>30000-4310-6290</f>
        <v>19400</v>
      </c>
      <c r="G53" s="92">
        <f>14550+4850</f>
        <v>19400</v>
      </c>
      <c r="H53" s="92">
        <f>G53</f>
        <v>19400</v>
      </c>
      <c r="I53" s="92"/>
      <c r="J53" s="94"/>
      <c r="K53" s="93"/>
      <c r="L53" s="92"/>
      <c r="M53" s="94"/>
      <c r="N53" s="93"/>
      <c r="O53" s="92">
        <f>G53</f>
        <v>19400</v>
      </c>
      <c r="P53" s="91">
        <f t="shared" si="3"/>
        <v>0</v>
      </c>
      <c r="Q53" s="90"/>
      <c r="R53" s="89"/>
      <c r="S53" s="88"/>
      <c r="T53" s="87"/>
    </row>
    <row r="54" spans="1:20" s="86" customFormat="1" ht="12.75" customHeight="1">
      <c r="A54" s="97" t="str">
        <f>A52</f>
        <v>Прочие работы, услуги</v>
      </c>
      <c r="B54" s="95"/>
      <c r="C54" s="96" t="s">
        <v>100</v>
      </c>
      <c r="D54" s="110" t="s">
        <v>298</v>
      </c>
      <c r="E54" s="95" t="s">
        <v>287</v>
      </c>
      <c r="F54" s="92"/>
      <c r="G54" s="92">
        <v>0</v>
      </c>
      <c r="H54" s="92">
        <v>0</v>
      </c>
      <c r="I54" s="92"/>
      <c r="J54" s="94"/>
      <c r="K54" s="93"/>
      <c r="L54" s="92"/>
      <c r="M54" s="94"/>
      <c r="N54" s="93"/>
      <c r="O54" s="92">
        <v>0</v>
      </c>
      <c r="P54" s="91">
        <f t="shared" si="3"/>
        <v>0</v>
      </c>
      <c r="Q54" s="90"/>
      <c r="R54" s="89"/>
      <c r="S54" s="88"/>
      <c r="T54" s="87"/>
    </row>
    <row r="55" spans="1:20" s="86" customFormat="1" ht="21.75" customHeight="1">
      <c r="A55" s="97" t="str">
        <f>A50</f>
        <v>Иные выплаты текущего характера организациям</v>
      </c>
      <c r="B55" s="95"/>
      <c r="C55" s="96" t="s">
        <v>102</v>
      </c>
      <c r="D55" s="110" t="s">
        <v>317</v>
      </c>
      <c r="E55" s="95" t="s">
        <v>287</v>
      </c>
      <c r="F55" s="92">
        <f>100000+25000</f>
        <v>125000</v>
      </c>
      <c r="G55" s="92">
        <f>20000+50000</f>
        <v>70000</v>
      </c>
      <c r="H55" s="92">
        <f>G55</f>
        <v>70000</v>
      </c>
      <c r="I55" s="92"/>
      <c r="J55" s="94"/>
      <c r="K55" s="93"/>
      <c r="L55" s="92"/>
      <c r="M55" s="94"/>
      <c r="N55" s="93"/>
      <c r="O55" s="92">
        <f>G55</f>
        <v>70000</v>
      </c>
      <c r="P55" s="91">
        <f t="shared" si="3"/>
        <v>55000</v>
      </c>
      <c r="Q55" s="90"/>
      <c r="R55" s="89"/>
      <c r="S55" s="88"/>
      <c r="T55" s="87"/>
    </row>
    <row r="56" spans="1:20" s="113" customFormat="1" ht="12.75" hidden="1" customHeight="1">
      <c r="A56" s="97" t="s">
        <v>86</v>
      </c>
      <c r="B56" s="95"/>
      <c r="C56" s="96" t="s">
        <v>103</v>
      </c>
      <c r="D56" s="95" t="s">
        <v>316</v>
      </c>
      <c r="E56" s="95" t="s">
        <v>287</v>
      </c>
      <c r="F56" s="92"/>
      <c r="G56" s="92">
        <v>0</v>
      </c>
      <c r="H56" s="92">
        <f>G56</f>
        <v>0</v>
      </c>
      <c r="I56" s="92"/>
      <c r="J56" s="94"/>
      <c r="K56" s="93"/>
      <c r="L56" s="92"/>
      <c r="M56" s="94"/>
      <c r="N56" s="93"/>
      <c r="O56" s="92">
        <f>H56</f>
        <v>0</v>
      </c>
      <c r="P56" s="91">
        <f t="shared" si="3"/>
        <v>0</v>
      </c>
      <c r="Q56" s="90"/>
      <c r="R56" s="89"/>
      <c r="S56" s="115"/>
      <c r="T56" s="114"/>
    </row>
    <row r="57" spans="1:20" s="113" customFormat="1" ht="12.75" hidden="1" customHeight="1">
      <c r="A57" s="97" t="s">
        <v>85</v>
      </c>
      <c r="B57" s="95"/>
      <c r="C57" s="96" t="s">
        <v>104</v>
      </c>
      <c r="D57" s="95" t="s">
        <v>316</v>
      </c>
      <c r="E57" s="95" t="s">
        <v>287</v>
      </c>
      <c r="F57" s="92">
        <v>0</v>
      </c>
      <c r="G57" s="92"/>
      <c r="H57" s="92">
        <f>G57</f>
        <v>0</v>
      </c>
      <c r="I57" s="92"/>
      <c r="J57" s="94"/>
      <c r="K57" s="93"/>
      <c r="L57" s="92"/>
      <c r="M57" s="94"/>
      <c r="N57" s="93"/>
      <c r="O57" s="92">
        <f>G57</f>
        <v>0</v>
      </c>
      <c r="P57" s="91">
        <f t="shared" si="3"/>
        <v>0</v>
      </c>
      <c r="Q57" s="90"/>
      <c r="R57" s="89"/>
      <c r="S57" s="115"/>
      <c r="T57" s="114"/>
    </row>
    <row r="58" spans="1:20" s="86" customFormat="1" ht="12.75" customHeight="1">
      <c r="A58" s="97" t="str">
        <f>A54</f>
        <v>Прочие работы, услуги</v>
      </c>
      <c r="B58" s="95"/>
      <c r="C58" s="96" t="s">
        <v>105</v>
      </c>
      <c r="D58" s="110" t="s">
        <v>298</v>
      </c>
      <c r="E58" s="95" t="s">
        <v>287</v>
      </c>
      <c r="F58" s="92"/>
      <c r="G58" s="92">
        <v>0</v>
      </c>
      <c r="H58" s="92">
        <v>0</v>
      </c>
      <c r="I58" s="92"/>
      <c r="J58" s="94"/>
      <c r="K58" s="93"/>
      <c r="L58" s="92"/>
      <c r="M58" s="94"/>
      <c r="N58" s="93"/>
      <c r="O58" s="92">
        <v>0</v>
      </c>
      <c r="P58" s="91">
        <f t="shared" si="3"/>
        <v>0</v>
      </c>
      <c r="Q58" s="90"/>
      <c r="R58" s="89"/>
      <c r="S58" s="88"/>
      <c r="T58" s="87"/>
    </row>
    <row r="59" spans="1:20" s="98" customFormat="1" ht="12.75" customHeight="1">
      <c r="A59" s="107" t="s">
        <v>315</v>
      </c>
      <c r="B59" s="105"/>
      <c r="C59" s="106"/>
      <c r="D59" s="105"/>
      <c r="E59" s="105"/>
      <c r="F59" s="104">
        <f>SUM(F52:F58)</f>
        <v>195400</v>
      </c>
      <c r="G59" s="104">
        <f>SUM(G52:G58)</f>
        <v>136130</v>
      </c>
      <c r="H59" s="104">
        <f>SUM(H52:H58)</f>
        <v>136130</v>
      </c>
      <c r="I59" s="431"/>
      <c r="J59" s="432"/>
      <c r="K59" s="104">
        <f>SUM(K52:K58)</f>
        <v>0</v>
      </c>
      <c r="L59" s="431"/>
      <c r="M59" s="432"/>
      <c r="N59" s="104">
        <f>SUM(N52:N58)</f>
        <v>0</v>
      </c>
      <c r="O59" s="104">
        <f>SUM(O52:O58)</f>
        <v>136130</v>
      </c>
      <c r="P59" s="103">
        <f>SUM(P52:P58)</f>
        <v>59270</v>
      </c>
      <c r="Q59" s="102"/>
      <c r="R59" s="101"/>
      <c r="S59" s="100"/>
      <c r="T59" s="99"/>
    </row>
    <row r="60" spans="1:20" s="86" customFormat="1" ht="12.75" customHeight="1">
      <c r="A60" s="97" t="str">
        <f>A24</f>
        <v>Заработная плата</v>
      </c>
      <c r="B60" s="95"/>
      <c r="C60" s="96" t="s">
        <v>106</v>
      </c>
      <c r="D60" s="95" t="s">
        <v>314</v>
      </c>
      <c r="E60" s="95" t="s">
        <v>311</v>
      </c>
      <c r="F60" s="92">
        <f>174500+3616.74</f>
        <v>178116.74</v>
      </c>
      <c r="G60" s="92">
        <f>142173.93+11024.6+2339+19595.21+2984</f>
        <v>178116.74</v>
      </c>
      <c r="H60" s="92">
        <f>G60</f>
        <v>178116.74</v>
      </c>
      <c r="I60" s="92"/>
      <c r="J60" s="94"/>
      <c r="K60" s="93"/>
      <c r="L60" s="92"/>
      <c r="M60" s="94"/>
      <c r="N60" s="93"/>
      <c r="O60" s="92">
        <f>H60</f>
        <v>178116.74</v>
      </c>
      <c r="P60" s="91">
        <f>F60-G60</f>
        <v>0</v>
      </c>
      <c r="Q60" s="90"/>
      <c r="R60" s="89"/>
      <c r="S60" s="88"/>
      <c r="T60" s="87"/>
    </row>
    <row r="61" spans="1:20" s="86" customFormat="1" ht="12.75" customHeight="1">
      <c r="A61" s="97" t="str">
        <f>A29</f>
        <v>Начисления на выплаты по оплате труда</v>
      </c>
      <c r="B61" s="95"/>
      <c r="C61" s="96" t="s">
        <v>107</v>
      </c>
      <c r="D61" s="95" t="s">
        <v>313</v>
      </c>
      <c r="E61" s="95" t="s">
        <v>311</v>
      </c>
      <c r="F61" s="92">
        <f>55700-3116.74</f>
        <v>52583.26</v>
      </c>
      <c r="G61" s="92">
        <f>40215.97+4041.84+936.97+532.79+36.74+4967.44+654.8+1151.55+45.16</f>
        <v>52583.260000000009</v>
      </c>
      <c r="H61" s="92">
        <f>G61</f>
        <v>52583.260000000009</v>
      </c>
      <c r="I61" s="92"/>
      <c r="J61" s="94"/>
      <c r="K61" s="93"/>
      <c r="L61" s="92"/>
      <c r="M61" s="94"/>
      <c r="N61" s="93"/>
      <c r="O61" s="92">
        <f>H61</f>
        <v>52583.260000000009</v>
      </c>
      <c r="P61" s="91">
        <f>F61-G61</f>
        <v>0</v>
      </c>
      <c r="Q61" s="90"/>
      <c r="R61" s="89"/>
      <c r="S61" s="88"/>
      <c r="T61" s="87"/>
    </row>
    <row r="62" spans="1:20" s="86" customFormat="1" ht="26.25" customHeight="1">
      <c r="A62" s="97" t="s">
        <v>312</v>
      </c>
      <c r="B62" s="95"/>
      <c r="C62" s="96" t="s">
        <v>108</v>
      </c>
      <c r="D62" s="95" t="s">
        <v>288</v>
      </c>
      <c r="E62" s="95" t="s">
        <v>311</v>
      </c>
      <c r="F62" s="92">
        <v>9500</v>
      </c>
      <c r="G62" s="92">
        <v>9500</v>
      </c>
      <c r="H62" s="92">
        <f>G62</f>
        <v>9500</v>
      </c>
      <c r="I62" s="92"/>
      <c r="J62" s="94"/>
      <c r="K62" s="94"/>
      <c r="L62" s="92"/>
      <c r="M62" s="94"/>
      <c r="N62" s="94"/>
      <c r="O62" s="92">
        <f>H62</f>
        <v>9500</v>
      </c>
      <c r="P62" s="91">
        <f>F62-G62</f>
        <v>0</v>
      </c>
      <c r="Q62" s="90"/>
      <c r="R62" s="89"/>
      <c r="S62" s="88"/>
      <c r="T62" s="87"/>
    </row>
    <row r="63" spans="1:20" s="98" customFormat="1" ht="13.5" customHeight="1">
      <c r="A63" s="107" t="s">
        <v>310</v>
      </c>
      <c r="B63" s="105"/>
      <c r="C63" s="106"/>
      <c r="D63" s="105"/>
      <c r="E63" s="105"/>
      <c r="F63" s="104">
        <f>F60+F61+F62</f>
        <v>240200</v>
      </c>
      <c r="G63" s="104">
        <f>G60+G61+G62</f>
        <v>240200</v>
      </c>
      <c r="H63" s="104">
        <f>H60+H61+H62</f>
        <v>240200</v>
      </c>
      <c r="I63" s="431"/>
      <c r="J63" s="432"/>
      <c r="K63" s="104">
        <f>K60+K61</f>
        <v>0</v>
      </c>
      <c r="L63" s="431"/>
      <c r="M63" s="432"/>
      <c r="N63" s="104">
        <f>N60+N61</f>
        <v>0</v>
      </c>
      <c r="O63" s="104">
        <f>O60+O61+O62</f>
        <v>240200</v>
      </c>
      <c r="P63" s="103">
        <f>P60+P61+P62</f>
        <v>0</v>
      </c>
      <c r="Q63" s="102"/>
      <c r="R63" s="101"/>
      <c r="S63" s="100"/>
      <c r="T63" s="99"/>
    </row>
    <row r="64" spans="1:20" s="86" customFormat="1" ht="12.75" customHeight="1">
      <c r="A64" s="97" t="str">
        <f>A35</f>
        <v>Прочие работы, услуги</v>
      </c>
      <c r="B64" s="95"/>
      <c r="C64" s="96" t="s">
        <v>126</v>
      </c>
      <c r="D64" s="110" t="s">
        <v>298</v>
      </c>
      <c r="E64" s="95" t="s">
        <v>287</v>
      </c>
      <c r="F64" s="92">
        <f>3000+9050</f>
        <v>12050</v>
      </c>
      <c r="G64" s="92">
        <f>9050+3000</f>
        <v>12050</v>
      </c>
      <c r="H64" s="92">
        <f>G64</f>
        <v>12050</v>
      </c>
      <c r="I64" s="92"/>
      <c r="J64" s="94"/>
      <c r="K64" s="93"/>
      <c r="L64" s="92"/>
      <c r="M64" s="94"/>
      <c r="N64" s="93"/>
      <c r="O64" s="92">
        <f>G64</f>
        <v>12050</v>
      </c>
      <c r="P64" s="91">
        <f>F64-G64</f>
        <v>0</v>
      </c>
      <c r="Q64" s="90"/>
      <c r="R64" s="89"/>
      <c r="S64" s="88"/>
      <c r="T64" s="87"/>
    </row>
    <row r="65" spans="1:20" s="86" customFormat="1" ht="12.75" customHeight="1">
      <c r="A65" s="97" t="s">
        <v>84</v>
      </c>
      <c r="B65" s="95"/>
      <c r="C65" s="96" t="s">
        <v>126</v>
      </c>
      <c r="D65" s="110" t="s">
        <v>288</v>
      </c>
      <c r="E65" s="95" t="s">
        <v>287</v>
      </c>
      <c r="F65" s="92">
        <v>4000</v>
      </c>
      <c r="G65" s="92">
        <v>4000</v>
      </c>
      <c r="H65" s="92">
        <v>4000</v>
      </c>
      <c r="I65" s="429"/>
      <c r="J65" s="430"/>
      <c r="K65" s="93"/>
      <c r="L65" s="92"/>
      <c r="M65" s="94"/>
      <c r="N65" s="93"/>
      <c r="O65" s="92">
        <f>G65</f>
        <v>4000</v>
      </c>
      <c r="P65" s="91">
        <f>F65-G65-I65</f>
        <v>0</v>
      </c>
      <c r="Q65" s="90"/>
      <c r="R65" s="89"/>
      <c r="S65" s="88"/>
      <c r="T65" s="87"/>
    </row>
    <row r="66" spans="1:20" s="86" customFormat="1" ht="12.75" customHeight="1">
      <c r="A66" s="97" t="e">
        <f>#REF!</f>
        <v>#REF!</v>
      </c>
      <c r="B66" s="95"/>
      <c r="C66" s="96" t="s">
        <v>131</v>
      </c>
      <c r="D66" s="95" t="s">
        <v>309</v>
      </c>
      <c r="E66" s="95" t="s">
        <v>308</v>
      </c>
      <c r="F66" s="92">
        <v>336700</v>
      </c>
      <c r="G66" s="92">
        <v>333300</v>
      </c>
      <c r="H66" s="92">
        <f>G66</f>
        <v>333300</v>
      </c>
      <c r="I66" s="92"/>
      <c r="J66" s="94"/>
      <c r="K66" s="94"/>
      <c r="L66" s="92"/>
      <c r="M66" s="94"/>
      <c r="N66" s="94"/>
      <c r="O66" s="92">
        <f>G66</f>
        <v>333300</v>
      </c>
      <c r="P66" s="91">
        <f>F66-G66</f>
        <v>3400</v>
      </c>
      <c r="Q66" s="90"/>
      <c r="R66" s="89"/>
      <c r="S66" s="88"/>
      <c r="T66" s="87"/>
    </row>
    <row r="67" spans="1:20" s="98" customFormat="1" ht="12.75" customHeight="1">
      <c r="A67" s="107" t="s">
        <v>307</v>
      </c>
      <c r="B67" s="105"/>
      <c r="C67" s="106"/>
      <c r="D67" s="105"/>
      <c r="E67" s="105"/>
      <c r="F67" s="104">
        <f>SUM(F64:F66)</f>
        <v>352750</v>
      </c>
      <c r="G67" s="104">
        <f>SUM(G64:G66)</f>
        <v>349350</v>
      </c>
      <c r="H67" s="104">
        <f>SUM(H64:H66)</f>
        <v>349350</v>
      </c>
      <c r="I67" s="431"/>
      <c r="J67" s="432"/>
      <c r="K67" s="104">
        <f>SUM(K64:K65)</f>
        <v>0</v>
      </c>
      <c r="L67" s="431"/>
      <c r="M67" s="432"/>
      <c r="N67" s="104">
        <f>SUM(N64:N65)</f>
        <v>0</v>
      </c>
      <c r="O67" s="104">
        <f>SUM(O64:O66)</f>
        <v>349350</v>
      </c>
      <c r="P67" s="103">
        <f>SUM(P64:P66)</f>
        <v>3400</v>
      </c>
      <c r="Q67" s="102"/>
      <c r="R67" s="101"/>
      <c r="S67" s="100"/>
      <c r="T67" s="99"/>
    </row>
    <row r="68" spans="1:20" s="86" customFormat="1" ht="15.75" customHeight="1">
      <c r="A68" s="97" t="str">
        <f>A33</f>
        <v>Работы, услуги по содержанию имущества</v>
      </c>
      <c r="B68" s="95"/>
      <c r="C68" s="96" t="s">
        <v>109</v>
      </c>
      <c r="D68" s="95" t="s">
        <v>300</v>
      </c>
      <c r="E68" s="95" t="s">
        <v>306</v>
      </c>
      <c r="F68" s="92">
        <v>542100</v>
      </c>
      <c r="G68" s="92">
        <f>271050+148950+122100</f>
        <v>542100</v>
      </c>
      <c r="H68" s="92">
        <f>G68</f>
        <v>542100</v>
      </c>
      <c r="I68" s="92"/>
      <c r="J68" s="94"/>
      <c r="K68" s="93"/>
      <c r="L68" s="92"/>
      <c r="M68" s="94"/>
      <c r="N68" s="93"/>
      <c r="O68" s="92">
        <f>G68</f>
        <v>542100</v>
      </c>
      <c r="P68" s="91">
        <f>F68-G68</f>
        <v>0</v>
      </c>
      <c r="Q68" s="90"/>
      <c r="R68" s="89"/>
      <c r="S68" s="88"/>
      <c r="T68" s="87"/>
    </row>
    <row r="69" spans="1:20" s="98" customFormat="1" ht="12.75" customHeight="1">
      <c r="A69" s="107" t="s">
        <v>305</v>
      </c>
      <c r="B69" s="105"/>
      <c r="C69" s="106"/>
      <c r="D69" s="105"/>
      <c r="E69" s="105"/>
      <c r="F69" s="104">
        <f>F68</f>
        <v>542100</v>
      </c>
      <c r="G69" s="104">
        <f>G68</f>
        <v>542100</v>
      </c>
      <c r="H69" s="104">
        <f>H68</f>
        <v>542100</v>
      </c>
      <c r="I69" s="104"/>
      <c r="J69" s="112"/>
      <c r="K69" s="111"/>
      <c r="L69" s="104"/>
      <c r="M69" s="112"/>
      <c r="N69" s="111"/>
      <c r="O69" s="104">
        <f>O68</f>
        <v>542100</v>
      </c>
      <c r="P69" s="103">
        <f>P68</f>
        <v>0</v>
      </c>
      <c r="Q69" s="102"/>
      <c r="R69" s="101"/>
      <c r="S69" s="100"/>
      <c r="T69" s="99"/>
    </row>
    <row r="70" spans="1:20" s="86" customFormat="1" ht="24" customHeight="1">
      <c r="A70" s="97" t="s">
        <v>83</v>
      </c>
      <c r="B70" s="95"/>
      <c r="C70" s="96" t="s">
        <v>101</v>
      </c>
      <c r="D70" s="95" t="s">
        <v>298</v>
      </c>
      <c r="E70" s="95" t="s">
        <v>287</v>
      </c>
      <c r="F70" s="92">
        <v>0</v>
      </c>
      <c r="G70" s="92"/>
      <c r="H70" s="92">
        <f t="shared" ref="H70:H85" si="4">G70</f>
        <v>0</v>
      </c>
      <c r="I70" s="92"/>
      <c r="J70" s="94"/>
      <c r="K70" s="93"/>
      <c r="L70" s="92"/>
      <c r="M70" s="94"/>
      <c r="N70" s="93"/>
      <c r="O70" s="92">
        <f>G70</f>
        <v>0</v>
      </c>
      <c r="P70" s="91">
        <f>F70-G70</f>
        <v>0</v>
      </c>
      <c r="Q70" s="90"/>
      <c r="R70" s="89"/>
      <c r="S70" s="88"/>
      <c r="T70" s="87"/>
    </row>
    <row r="71" spans="1:20" s="98" customFormat="1" ht="12.75" customHeight="1">
      <c r="A71" s="107" t="s">
        <v>304</v>
      </c>
      <c r="B71" s="105"/>
      <c r="C71" s="106"/>
      <c r="D71" s="105"/>
      <c r="E71" s="105"/>
      <c r="F71" s="104">
        <f>F70</f>
        <v>0</v>
      </c>
      <c r="G71" s="92"/>
      <c r="H71" s="92">
        <f t="shared" si="4"/>
        <v>0</v>
      </c>
      <c r="I71" s="104"/>
      <c r="J71" s="112"/>
      <c r="K71" s="111"/>
      <c r="L71" s="104"/>
      <c r="M71" s="112"/>
      <c r="N71" s="111"/>
      <c r="O71" s="92">
        <f>G71</f>
        <v>0</v>
      </c>
      <c r="P71" s="103">
        <f>P70</f>
        <v>0</v>
      </c>
      <c r="Q71" s="102"/>
      <c r="R71" s="101"/>
      <c r="S71" s="100"/>
      <c r="T71" s="99"/>
    </row>
    <row r="72" spans="1:20" s="86" customFormat="1" ht="17.25" customHeight="1">
      <c r="A72" s="97" t="s">
        <v>83</v>
      </c>
      <c r="B72" s="95"/>
      <c r="C72" s="96" t="s">
        <v>127</v>
      </c>
      <c r="D72" s="95" t="s">
        <v>298</v>
      </c>
      <c r="E72" s="95" t="s">
        <v>287</v>
      </c>
      <c r="F72" s="92">
        <v>82000</v>
      </c>
      <c r="G72" s="92">
        <v>82000</v>
      </c>
      <c r="H72" s="92">
        <f t="shared" si="4"/>
        <v>82000</v>
      </c>
      <c r="I72" s="92"/>
      <c r="J72" s="94"/>
      <c r="K72" s="93"/>
      <c r="L72" s="92"/>
      <c r="M72" s="94"/>
      <c r="N72" s="93"/>
      <c r="O72" s="92">
        <f>G72</f>
        <v>82000</v>
      </c>
      <c r="P72" s="91">
        <f>F72-G72</f>
        <v>0</v>
      </c>
      <c r="Q72" s="90"/>
      <c r="R72" s="89"/>
      <c r="S72" s="88"/>
      <c r="T72" s="87"/>
    </row>
    <row r="73" spans="1:20" s="98" customFormat="1" ht="14.25" customHeight="1">
      <c r="A73" s="107" t="s">
        <v>303</v>
      </c>
      <c r="B73" s="105"/>
      <c r="C73" s="106"/>
      <c r="D73" s="105"/>
      <c r="E73" s="105"/>
      <c r="F73" s="104">
        <f>F72</f>
        <v>82000</v>
      </c>
      <c r="G73" s="104">
        <f>G72</f>
        <v>82000</v>
      </c>
      <c r="H73" s="104">
        <f t="shared" si="4"/>
        <v>82000</v>
      </c>
      <c r="I73" s="104"/>
      <c r="J73" s="112"/>
      <c r="K73" s="111"/>
      <c r="L73" s="104"/>
      <c r="M73" s="112"/>
      <c r="N73" s="111"/>
      <c r="O73" s="104">
        <f>G73</f>
        <v>82000</v>
      </c>
      <c r="P73" s="103">
        <f>P72</f>
        <v>0</v>
      </c>
      <c r="Q73" s="102"/>
      <c r="R73" s="101"/>
      <c r="S73" s="100"/>
      <c r="T73" s="99"/>
    </row>
    <row r="74" spans="1:20" s="86" customFormat="1" ht="12.75" customHeight="1">
      <c r="A74" s="97" t="str">
        <f>A68</f>
        <v>Работы, услуги по содержанию имущества</v>
      </c>
      <c r="B74" s="95"/>
      <c r="C74" s="96" t="s">
        <v>110</v>
      </c>
      <c r="D74" s="95" t="s">
        <v>300</v>
      </c>
      <c r="E74" s="95" t="s">
        <v>287</v>
      </c>
      <c r="F74" s="92">
        <f>10000-410</f>
        <v>9590</v>
      </c>
      <c r="G74" s="92">
        <v>9492.25</v>
      </c>
      <c r="H74" s="92">
        <f t="shared" si="4"/>
        <v>9492.25</v>
      </c>
      <c r="I74" s="92"/>
      <c r="J74" s="94"/>
      <c r="K74" s="93"/>
      <c r="L74" s="92"/>
      <c r="M74" s="94"/>
      <c r="N74" s="93"/>
      <c r="O74" s="92">
        <f t="shared" ref="O74:O88" si="5">H74</f>
        <v>9492.25</v>
      </c>
      <c r="P74" s="91">
        <f>F74-G74</f>
        <v>97.75</v>
      </c>
      <c r="Q74" s="90"/>
      <c r="R74" s="89"/>
      <c r="S74" s="88"/>
      <c r="T74" s="87"/>
    </row>
    <row r="75" spans="1:20" s="86" customFormat="1" ht="24.75" customHeight="1">
      <c r="A75" s="97" t="str">
        <f>A37</f>
        <v>Увеличение стоимости прочих оборотных запасов (материалов)</v>
      </c>
      <c r="B75" s="95"/>
      <c r="C75" s="96" t="s">
        <v>121</v>
      </c>
      <c r="D75" s="95" t="s">
        <v>288</v>
      </c>
      <c r="E75" s="95" t="s">
        <v>287</v>
      </c>
      <c r="F75" s="92">
        <v>1000</v>
      </c>
      <c r="G75" s="92">
        <v>0</v>
      </c>
      <c r="H75" s="92">
        <f t="shared" si="4"/>
        <v>0</v>
      </c>
      <c r="I75" s="92"/>
      <c r="J75" s="94"/>
      <c r="K75" s="93"/>
      <c r="L75" s="92"/>
      <c r="M75" s="94"/>
      <c r="N75" s="93"/>
      <c r="O75" s="92">
        <f t="shared" si="5"/>
        <v>0</v>
      </c>
      <c r="P75" s="91">
        <f>F75-G75</f>
        <v>1000</v>
      </c>
      <c r="Q75" s="90"/>
      <c r="R75" s="89"/>
      <c r="S75" s="88"/>
      <c r="T75" s="87"/>
    </row>
    <row r="76" spans="1:20" s="86" customFormat="1" ht="12.75" customHeight="1">
      <c r="A76" s="97" t="s">
        <v>82</v>
      </c>
      <c r="B76" s="95"/>
      <c r="C76" s="96" t="s">
        <v>122</v>
      </c>
      <c r="D76" s="95" t="s">
        <v>302</v>
      </c>
      <c r="E76" s="95" t="s">
        <v>287</v>
      </c>
      <c r="F76" s="92">
        <v>762800</v>
      </c>
      <c r="G76" s="92">
        <f>563863.2+24724.45+35866.66+41744.86</f>
        <v>666199.16999999993</v>
      </c>
      <c r="H76" s="92">
        <f t="shared" si="4"/>
        <v>666199.16999999993</v>
      </c>
      <c r="I76" s="429"/>
      <c r="J76" s="430"/>
      <c r="K76" s="93"/>
      <c r="L76" s="92"/>
      <c r="M76" s="94"/>
      <c r="N76" s="93"/>
      <c r="O76" s="92">
        <f t="shared" si="5"/>
        <v>666199.16999999993</v>
      </c>
      <c r="P76" s="91">
        <f>F76-G76-I76</f>
        <v>96600.830000000075</v>
      </c>
      <c r="Q76" s="90"/>
      <c r="R76" s="89"/>
      <c r="S76" s="88"/>
      <c r="T76" s="87"/>
    </row>
    <row r="77" spans="1:20" s="86" customFormat="1" ht="12.75" customHeight="1">
      <c r="A77" s="97" t="str">
        <f>A74</f>
        <v>Работы, услуги по содержанию имущества</v>
      </c>
      <c r="B77" s="95"/>
      <c r="C77" s="96" t="s">
        <v>111</v>
      </c>
      <c r="D77" s="95" t="s">
        <v>300</v>
      </c>
      <c r="E77" s="95" t="s">
        <v>287</v>
      </c>
      <c r="F77" s="92">
        <v>400000</v>
      </c>
      <c r="G77" s="92">
        <f>149701+75081+175218</f>
        <v>400000</v>
      </c>
      <c r="H77" s="92">
        <f t="shared" si="4"/>
        <v>400000</v>
      </c>
      <c r="I77" s="429"/>
      <c r="J77" s="430"/>
      <c r="K77" s="93"/>
      <c r="L77" s="92"/>
      <c r="M77" s="94"/>
      <c r="N77" s="93"/>
      <c r="O77" s="92">
        <f t="shared" si="5"/>
        <v>400000</v>
      </c>
      <c r="P77" s="91">
        <f>F77-G77</f>
        <v>0</v>
      </c>
      <c r="Q77" s="90"/>
      <c r="R77" s="89"/>
      <c r="S77" s="88"/>
      <c r="T77" s="87"/>
    </row>
    <row r="78" spans="1:20" s="86" customFormat="1" ht="12.75" customHeight="1">
      <c r="A78" s="97" t="str">
        <f>A77</f>
        <v>Работы, услуги по содержанию имущества</v>
      </c>
      <c r="B78" s="95"/>
      <c r="C78" s="96" t="s">
        <v>112</v>
      </c>
      <c r="D78" s="95" t="s">
        <v>300</v>
      </c>
      <c r="E78" s="95" t="s">
        <v>287</v>
      </c>
      <c r="F78" s="92">
        <v>20000</v>
      </c>
      <c r="G78" s="92">
        <v>8423.81</v>
      </c>
      <c r="H78" s="92">
        <f t="shared" si="4"/>
        <v>8423.81</v>
      </c>
      <c r="I78" s="429"/>
      <c r="J78" s="430"/>
      <c r="K78" s="93"/>
      <c r="L78" s="92"/>
      <c r="M78" s="94"/>
      <c r="N78" s="93"/>
      <c r="O78" s="92">
        <f t="shared" si="5"/>
        <v>8423.81</v>
      </c>
      <c r="P78" s="91">
        <f>F78-G78</f>
        <v>11576.19</v>
      </c>
      <c r="Q78" s="90"/>
      <c r="R78" s="89"/>
      <c r="S78" s="88"/>
      <c r="T78" s="87"/>
    </row>
    <row r="79" spans="1:20" s="86" customFormat="1" ht="27.75" customHeight="1">
      <c r="A79" s="97" t="str">
        <f>A75</f>
        <v>Увеличение стоимости прочих оборотных запасов (материалов)</v>
      </c>
      <c r="B79" s="95"/>
      <c r="C79" s="96" t="s">
        <v>113</v>
      </c>
      <c r="D79" s="95" t="s">
        <v>288</v>
      </c>
      <c r="E79" s="95" t="s">
        <v>287</v>
      </c>
      <c r="F79" s="92">
        <v>55000</v>
      </c>
      <c r="G79" s="92">
        <f>29700+25300</f>
        <v>55000</v>
      </c>
      <c r="H79" s="92">
        <f t="shared" si="4"/>
        <v>55000</v>
      </c>
      <c r="I79" s="92"/>
      <c r="J79" s="94"/>
      <c r="K79" s="93"/>
      <c r="L79" s="92"/>
      <c r="M79" s="94"/>
      <c r="N79" s="93"/>
      <c r="O79" s="92">
        <f t="shared" si="5"/>
        <v>55000</v>
      </c>
      <c r="P79" s="91">
        <f>F79-G79</f>
        <v>0</v>
      </c>
      <c r="Q79" s="90"/>
      <c r="R79" s="89"/>
      <c r="S79" s="88"/>
      <c r="T79" s="87"/>
    </row>
    <row r="80" spans="1:20" s="86" customFormat="1" ht="12.75" customHeight="1">
      <c r="A80" s="97" t="str">
        <f>A77</f>
        <v>Работы, услуги по содержанию имущества</v>
      </c>
      <c r="B80" s="95"/>
      <c r="C80" s="96" t="s">
        <v>114</v>
      </c>
      <c r="D80" s="95" t="s">
        <v>300</v>
      </c>
      <c r="E80" s="95" t="s">
        <v>287</v>
      </c>
      <c r="F80" s="92"/>
      <c r="G80" s="92">
        <v>0</v>
      </c>
      <c r="H80" s="92">
        <f t="shared" si="4"/>
        <v>0</v>
      </c>
      <c r="I80" s="92"/>
      <c r="J80" s="94"/>
      <c r="K80" s="93"/>
      <c r="L80" s="92"/>
      <c r="M80" s="94"/>
      <c r="N80" s="93"/>
      <c r="O80" s="92">
        <f t="shared" si="5"/>
        <v>0</v>
      </c>
      <c r="P80" s="91">
        <f>F80-G80</f>
        <v>0</v>
      </c>
      <c r="Q80" s="90"/>
      <c r="R80" s="89"/>
      <c r="S80" s="88"/>
      <c r="T80" s="87"/>
    </row>
    <row r="81" spans="1:20" s="86" customFormat="1" ht="12.75" customHeight="1">
      <c r="A81" s="97" t="str">
        <f>A80</f>
        <v>Работы, услуги по содержанию имущества</v>
      </c>
      <c r="B81" s="95"/>
      <c r="C81" s="96" t="s">
        <v>115</v>
      </c>
      <c r="D81" s="95" t="s">
        <v>300</v>
      </c>
      <c r="E81" s="95" t="s">
        <v>287</v>
      </c>
      <c r="F81" s="92">
        <f>775900</f>
        <v>775900</v>
      </c>
      <c r="G81" s="92">
        <f>414265.89+15680+3180+7730.66+1792.11+1000+1000+897+1517.34+351.75+4000+2000+2000+44700+7277+12314.94+2854.83+2002+4001+2000+1193+2023.12+468.98</f>
        <v>534249.62</v>
      </c>
      <c r="H81" s="92">
        <f t="shared" si="4"/>
        <v>534249.62</v>
      </c>
      <c r="I81" s="429"/>
      <c r="J81" s="430"/>
      <c r="K81" s="93"/>
      <c r="L81" s="429"/>
      <c r="M81" s="430"/>
      <c r="N81" s="93"/>
      <c r="O81" s="92">
        <f t="shared" si="5"/>
        <v>534249.62</v>
      </c>
      <c r="P81" s="91">
        <f>F81-G81-I81</f>
        <v>241650.38</v>
      </c>
      <c r="Q81" s="90"/>
      <c r="R81" s="89"/>
      <c r="S81" s="88"/>
      <c r="T81" s="87"/>
    </row>
    <row r="82" spans="1:20" s="86" customFormat="1" ht="12.75" customHeight="1">
      <c r="A82" s="97" t="str">
        <f>A81</f>
        <v>Работы, услуги по содержанию имущества</v>
      </c>
      <c r="B82" s="95"/>
      <c r="C82" s="96" t="s">
        <v>115</v>
      </c>
      <c r="D82" s="95" t="s">
        <v>300</v>
      </c>
      <c r="E82" s="95" t="s">
        <v>293</v>
      </c>
      <c r="F82" s="92">
        <f>581400</f>
        <v>581400</v>
      </c>
      <c r="G82" s="92">
        <f>43500+251095.52+50000+50000+30000+20263+29476.4+6833.16</f>
        <v>481168.08</v>
      </c>
      <c r="H82" s="92">
        <f t="shared" si="4"/>
        <v>481168.08</v>
      </c>
      <c r="I82" s="92"/>
      <c r="J82" s="94"/>
      <c r="K82" s="93"/>
      <c r="L82" s="92"/>
      <c r="M82" s="94"/>
      <c r="N82" s="93"/>
      <c r="O82" s="92">
        <f t="shared" si="5"/>
        <v>481168.08</v>
      </c>
      <c r="P82" s="91">
        <f>F82-G82</f>
        <v>100231.91999999998</v>
      </c>
      <c r="Q82" s="90"/>
      <c r="R82" s="89"/>
      <c r="S82" s="88"/>
      <c r="T82" s="87"/>
    </row>
    <row r="83" spans="1:20" s="86" customFormat="1" ht="12.75" customHeight="1">
      <c r="A83" s="97" t="s">
        <v>84</v>
      </c>
      <c r="B83" s="95"/>
      <c r="C83" s="96" t="s">
        <v>115</v>
      </c>
      <c r="D83" s="95" t="s">
        <v>298</v>
      </c>
      <c r="E83" s="95" t="s">
        <v>287</v>
      </c>
      <c r="F83" s="92">
        <v>36000</v>
      </c>
      <c r="G83" s="92">
        <f>17760*2</f>
        <v>35520</v>
      </c>
      <c r="H83" s="92">
        <f t="shared" si="4"/>
        <v>35520</v>
      </c>
      <c r="I83" s="92"/>
      <c r="J83" s="94"/>
      <c r="K83" s="93"/>
      <c r="L83" s="92"/>
      <c r="M83" s="94"/>
      <c r="N83" s="93"/>
      <c r="O83" s="92">
        <f t="shared" si="5"/>
        <v>35520</v>
      </c>
      <c r="P83" s="91">
        <f>F83-G83</f>
        <v>480</v>
      </c>
      <c r="Q83" s="90"/>
      <c r="R83" s="89"/>
      <c r="S83" s="88"/>
      <c r="T83" s="87"/>
    </row>
    <row r="84" spans="1:20" s="86" customFormat="1" ht="23.25" customHeight="1">
      <c r="A84" s="97" t="str">
        <f>A79</f>
        <v>Увеличение стоимости прочих оборотных запасов (материалов)</v>
      </c>
      <c r="B84" s="95"/>
      <c r="C84" s="96" t="s">
        <v>115</v>
      </c>
      <c r="D84" s="95" t="s">
        <v>288</v>
      </c>
      <c r="E84" s="95" t="s">
        <v>287</v>
      </c>
      <c r="F84" s="92">
        <v>250000</v>
      </c>
      <c r="G84" s="92">
        <f>73120+50000+90283</f>
        <v>213403</v>
      </c>
      <c r="H84" s="92">
        <f t="shared" si="4"/>
        <v>213403</v>
      </c>
      <c r="I84" s="92"/>
      <c r="J84" s="94"/>
      <c r="K84" s="93"/>
      <c r="L84" s="92"/>
      <c r="M84" s="94"/>
      <c r="N84" s="93"/>
      <c r="O84" s="92">
        <f t="shared" si="5"/>
        <v>213403</v>
      </c>
      <c r="P84" s="91">
        <f>F84-G84</f>
        <v>36597</v>
      </c>
      <c r="Q84" s="90"/>
      <c r="R84" s="89"/>
      <c r="S84" s="88"/>
      <c r="T84" s="87"/>
    </row>
    <row r="85" spans="1:20" s="86" customFormat="1" ht="12.75" customHeight="1">
      <c r="A85" s="97" t="str">
        <f>A81</f>
        <v>Работы, услуги по содержанию имущества</v>
      </c>
      <c r="B85" s="95"/>
      <c r="C85" s="96" t="s">
        <v>116</v>
      </c>
      <c r="D85" s="95" t="s">
        <v>300</v>
      </c>
      <c r="E85" s="95" t="s">
        <v>287</v>
      </c>
      <c r="F85" s="92">
        <f>50000-30000</f>
        <v>20000</v>
      </c>
      <c r="G85" s="92">
        <f>6656.3+6656.3</f>
        <v>13312.6</v>
      </c>
      <c r="H85" s="92">
        <f t="shared" si="4"/>
        <v>13312.6</v>
      </c>
      <c r="I85" s="92"/>
      <c r="J85" s="94"/>
      <c r="K85" s="93"/>
      <c r="L85" s="92"/>
      <c r="M85" s="94"/>
      <c r="N85" s="93"/>
      <c r="O85" s="92">
        <f t="shared" si="5"/>
        <v>13312.6</v>
      </c>
      <c r="P85" s="91">
        <f>F85-G85</f>
        <v>6687.4</v>
      </c>
      <c r="Q85" s="90"/>
      <c r="R85" s="89"/>
      <c r="S85" s="88"/>
      <c r="T85" s="87"/>
    </row>
    <row r="86" spans="1:20" s="86" customFormat="1" ht="12.75" hidden="1" customHeight="1">
      <c r="A86" s="97" t="s">
        <v>83</v>
      </c>
      <c r="B86" s="95"/>
      <c r="C86" s="96" t="s">
        <v>301</v>
      </c>
      <c r="D86" s="95" t="s">
        <v>300</v>
      </c>
      <c r="E86" s="95" t="s">
        <v>287</v>
      </c>
      <c r="F86" s="92"/>
      <c r="G86" s="92"/>
      <c r="H86" s="92"/>
      <c r="I86" s="92"/>
      <c r="J86" s="94"/>
      <c r="K86" s="94"/>
      <c r="L86" s="92"/>
      <c r="M86" s="94"/>
      <c r="N86" s="94"/>
      <c r="O86" s="92">
        <f t="shared" si="5"/>
        <v>0</v>
      </c>
      <c r="P86" s="91"/>
      <c r="Q86" s="90"/>
      <c r="R86" s="89"/>
      <c r="S86" s="88"/>
      <c r="T86" s="87"/>
    </row>
    <row r="87" spans="1:20" s="98" customFormat="1" ht="12.75" customHeight="1">
      <c r="A87" s="107" t="s">
        <v>299</v>
      </c>
      <c r="B87" s="105"/>
      <c r="C87" s="106"/>
      <c r="D87" s="105"/>
      <c r="E87" s="105"/>
      <c r="F87" s="104">
        <f>SUM(F74:F86)</f>
        <v>2911690</v>
      </c>
      <c r="G87" s="104">
        <f>SUM(G74:G85)</f>
        <v>2416768.5300000003</v>
      </c>
      <c r="H87" s="104">
        <f>SUM(H74:H85)</f>
        <v>2416768.5300000003</v>
      </c>
      <c r="I87" s="431"/>
      <c r="J87" s="432"/>
      <c r="K87" s="104">
        <f>SUM(K74:K85)</f>
        <v>0</v>
      </c>
      <c r="L87" s="431"/>
      <c r="M87" s="432"/>
      <c r="N87" s="104">
        <f>SUM(N74:N85)</f>
        <v>0</v>
      </c>
      <c r="O87" s="104">
        <f t="shared" si="5"/>
        <v>2416768.5300000003</v>
      </c>
      <c r="P87" s="103">
        <f>SUM(P74:P85)</f>
        <v>494921.47000000009</v>
      </c>
      <c r="Q87" s="102"/>
      <c r="R87" s="101"/>
      <c r="S87" s="100"/>
      <c r="T87" s="99"/>
    </row>
    <row r="88" spans="1:20" s="86" customFormat="1" ht="0.75" customHeight="1">
      <c r="A88" s="97" t="s">
        <v>84</v>
      </c>
      <c r="B88" s="95"/>
      <c r="C88" s="96" t="s">
        <v>117</v>
      </c>
      <c r="D88" s="110" t="s">
        <v>298</v>
      </c>
      <c r="E88" s="95" t="s">
        <v>287</v>
      </c>
      <c r="F88" s="92">
        <v>0</v>
      </c>
      <c r="G88" s="92">
        <v>0</v>
      </c>
      <c r="H88" s="92">
        <f>G88</f>
        <v>0</v>
      </c>
      <c r="I88" s="92"/>
      <c r="J88" s="94"/>
      <c r="K88" s="93"/>
      <c r="L88" s="92"/>
      <c r="M88" s="94"/>
      <c r="N88" s="93"/>
      <c r="O88" s="92">
        <f t="shared" si="5"/>
        <v>0</v>
      </c>
      <c r="P88" s="91">
        <f>F88-G88</f>
        <v>0</v>
      </c>
      <c r="Q88" s="90"/>
      <c r="R88" s="89"/>
      <c r="S88" s="88"/>
      <c r="T88" s="87"/>
    </row>
    <row r="89" spans="1:20" s="98" customFormat="1" ht="11.25" hidden="1" customHeight="1">
      <c r="A89" s="107"/>
      <c r="B89" s="105"/>
      <c r="C89" s="106"/>
      <c r="D89" s="105"/>
      <c r="E89" s="105"/>
      <c r="F89" s="104"/>
      <c r="G89" s="104"/>
      <c r="H89" s="104"/>
      <c r="I89" s="104"/>
      <c r="J89" s="112"/>
      <c r="K89" s="112"/>
      <c r="L89" s="104"/>
      <c r="M89" s="112"/>
      <c r="N89" s="112"/>
      <c r="O89" s="104"/>
      <c r="P89" s="103"/>
      <c r="Q89" s="102"/>
      <c r="R89" s="101"/>
      <c r="S89" s="100"/>
      <c r="T89" s="99"/>
    </row>
    <row r="90" spans="1:20" s="86" customFormat="1" ht="12.75" customHeight="1">
      <c r="A90" s="97" t="str">
        <f>A83</f>
        <v>Прочие работы, услуги</v>
      </c>
      <c r="B90" s="95"/>
      <c r="C90" s="96" t="s">
        <v>117</v>
      </c>
      <c r="D90" s="110" t="s">
        <v>298</v>
      </c>
      <c r="E90" s="95" t="s">
        <v>293</v>
      </c>
      <c r="F90" s="92">
        <v>24000</v>
      </c>
      <c r="G90" s="92">
        <v>24000</v>
      </c>
      <c r="H90" s="92">
        <f>G90</f>
        <v>24000</v>
      </c>
      <c r="I90" s="92"/>
      <c r="J90" s="94"/>
      <c r="K90" s="93"/>
      <c r="L90" s="92"/>
      <c r="M90" s="94"/>
      <c r="N90" s="93"/>
      <c r="O90" s="92">
        <f t="shared" ref="O90:O95" si="6">H90</f>
        <v>24000</v>
      </c>
      <c r="P90" s="91">
        <f>F90-G90</f>
        <v>0</v>
      </c>
      <c r="Q90" s="90"/>
      <c r="R90" s="89"/>
      <c r="S90" s="88"/>
      <c r="T90" s="87"/>
    </row>
    <row r="91" spans="1:20" s="98" customFormat="1" ht="12.75" customHeight="1">
      <c r="A91" s="107" t="s">
        <v>297</v>
      </c>
      <c r="B91" s="105"/>
      <c r="C91" s="106"/>
      <c r="D91" s="105"/>
      <c r="E91" s="105"/>
      <c r="F91" s="104">
        <f>F90+F88</f>
        <v>24000</v>
      </c>
      <c r="G91" s="104">
        <f>G90+G88</f>
        <v>24000</v>
      </c>
      <c r="H91" s="104">
        <f>H90+H88</f>
        <v>24000</v>
      </c>
      <c r="I91" s="104"/>
      <c r="J91" s="112"/>
      <c r="K91" s="111"/>
      <c r="L91" s="104"/>
      <c r="M91" s="112"/>
      <c r="N91" s="111"/>
      <c r="O91" s="104">
        <f t="shared" si="6"/>
        <v>24000</v>
      </c>
      <c r="P91" s="103">
        <f>F91-G91</f>
        <v>0</v>
      </c>
      <c r="Q91" s="102"/>
      <c r="R91" s="101"/>
      <c r="S91" s="100"/>
      <c r="T91" s="99"/>
    </row>
    <row r="92" spans="1:20" s="86" customFormat="1" ht="24" customHeight="1">
      <c r="A92" s="97" t="s">
        <v>295</v>
      </c>
      <c r="B92" s="95"/>
      <c r="C92" s="96" t="s">
        <v>296</v>
      </c>
      <c r="D92" s="95" t="s">
        <v>294</v>
      </c>
      <c r="E92" s="95" t="s">
        <v>287</v>
      </c>
      <c r="F92" s="92">
        <v>3270000</v>
      </c>
      <c r="G92" s="92">
        <f>2622720.61+28869.6+288250.18+168120.57+162039.04</f>
        <v>3270000</v>
      </c>
      <c r="H92" s="92">
        <f>G92</f>
        <v>3270000</v>
      </c>
      <c r="I92" s="429"/>
      <c r="J92" s="430"/>
      <c r="K92" s="93"/>
      <c r="L92" s="92"/>
      <c r="M92" s="94"/>
      <c r="N92" s="93"/>
      <c r="O92" s="92">
        <f t="shared" si="6"/>
        <v>3270000</v>
      </c>
      <c r="P92" s="91">
        <f>F92-G92-I92</f>
        <v>0</v>
      </c>
      <c r="Q92" s="90"/>
      <c r="R92" s="89"/>
      <c r="S92" s="88"/>
      <c r="T92" s="87"/>
    </row>
    <row r="93" spans="1:20" s="86" customFormat="1" ht="24" customHeight="1">
      <c r="A93" s="97" t="s">
        <v>295</v>
      </c>
      <c r="B93" s="95"/>
      <c r="C93" s="96" t="s">
        <v>296</v>
      </c>
      <c r="D93" s="95" t="s">
        <v>294</v>
      </c>
      <c r="E93" s="95" t="s">
        <v>293</v>
      </c>
      <c r="F93" s="92">
        <f>150000-46500</f>
        <v>103500</v>
      </c>
      <c r="G93" s="92">
        <f>57675.42+45800</f>
        <v>103475.42</v>
      </c>
      <c r="H93" s="92">
        <f>G93</f>
        <v>103475.42</v>
      </c>
      <c r="I93" s="429"/>
      <c r="J93" s="430"/>
      <c r="K93" s="93"/>
      <c r="L93" s="92"/>
      <c r="M93" s="94"/>
      <c r="N93" s="93"/>
      <c r="O93" s="92">
        <f t="shared" si="6"/>
        <v>103475.42</v>
      </c>
      <c r="P93" s="91">
        <f>F93-G93-I93</f>
        <v>24.580000000001746</v>
      </c>
      <c r="Q93" s="90"/>
      <c r="R93" s="89"/>
      <c r="S93" s="88"/>
      <c r="T93" s="87"/>
    </row>
    <row r="94" spans="1:20" s="86" customFormat="1" ht="24" customHeight="1">
      <c r="A94" s="97" t="s">
        <v>295</v>
      </c>
      <c r="B94" s="95"/>
      <c r="C94" s="96" t="s">
        <v>134</v>
      </c>
      <c r="D94" s="95" t="s">
        <v>294</v>
      </c>
      <c r="E94" s="95" t="s">
        <v>293</v>
      </c>
      <c r="F94" s="92">
        <f>300000</f>
        <v>300000</v>
      </c>
      <c r="G94" s="92">
        <f>193750+100670</f>
        <v>294420</v>
      </c>
      <c r="H94" s="92">
        <f>G94</f>
        <v>294420</v>
      </c>
      <c r="I94" s="429"/>
      <c r="J94" s="430"/>
      <c r="K94" s="93"/>
      <c r="L94" s="92"/>
      <c r="M94" s="94"/>
      <c r="N94" s="93"/>
      <c r="O94" s="92">
        <f t="shared" si="6"/>
        <v>294420</v>
      </c>
      <c r="P94" s="91">
        <f>F94-G94-I94</f>
        <v>5580</v>
      </c>
      <c r="Q94" s="90"/>
      <c r="R94" s="89"/>
      <c r="S94" s="88"/>
      <c r="T94" s="87"/>
    </row>
    <row r="95" spans="1:20" s="86" customFormat="1" ht="24" customHeight="1">
      <c r="A95" s="97" t="s">
        <v>295</v>
      </c>
      <c r="B95" s="95"/>
      <c r="C95" s="96" t="s">
        <v>128</v>
      </c>
      <c r="D95" s="95" t="s">
        <v>294</v>
      </c>
      <c r="E95" s="95" t="s">
        <v>293</v>
      </c>
      <c r="F95" s="92">
        <f>500000-450000+46500</f>
        <v>96500</v>
      </c>
      <c r="G95" s="92">
        <f>50000+46489.7</f>
        <v>96489.7</v>
      </c>
      <c r="H95" s="92">
        <f>G95</f>
        <v>96489.7</v>
      </c>
      <c r="I95" s="92"/>
      <c r="J95" s="94"/>
      <c r="K95" s="94"/>
      <c r="L95" s="92"/>
      <c r="M95" s="94"/>
      <c r="N95" s="94"/>
      <c r="O95" s="92">
        <f t="shared" si="6"/>
        <v>96489.7</v>
      </c>
      <c r="P95" s="91">
        <f>F95-G95-I95</f>
        <v>10.30000000000291</v>
      </c>
      <c r="Q95" s="90"/>
      <c r="R95" s="89"/>
      <c r="S95" s="88"/>
      <c r="T95" s="87"/>
    </row>
    <row r="96" spans="1:20" s="98" customFormat="1" ht="17.25" customHeight="1">
      <c r="A96" s="107" t="s">
        <v>292</v>
      </c>
      <c r="B96" s="105"/>
      <c r="C96" s="106"/>
      <c r="D96" s="105"/>
      <c r="E96" s="105"/>
      <c r="F96" s="104">
        <f>SUM(F92:F95)</f>
        <v>3770000</v>
      </c>
      <c r="G96" s="104">
        <f>SUM(G92:G95)</f>
        <v>3764385.12</v>
      </c>
      <c r="H96" s="104">
        <f>SUM(H92:H95)</f>
        <v>3764385.12</v>
      </c>
      <c r="I96" s="431"/>
      <c r="J96" s="432"/>
      <c r="K96" s="104">
        <f>SUM(K92:K92)</f>
        <v>0</v>
      </c>
      <c r="L96" s="431"/>
      <c r="M96" s="432"/>
      <c r="N96" s="104">
        <f>SUM(N92:N92)</f>
        <v>0</v>
      </c>
      <c r="O96" s="104">
        <f>SUM(O92:O95)</f>
        <v>3764385.12</v>
      </c>
      <c r="P96" s="103">
        <f>SUM(P92:P95)</f>
        <v>5614.8800000000047</v>
      </c>
      <c r="Q96" s="102"/>
      <c r="R96" s="101"/>
      <c r="S96" s="100"/>
      <c r="T96" s="99"/>
    </row>
    <row r="97" spans="1:20" s="86" customFormat="1" ht="13.5" customHeight="1">
      <c r="A97" s="97" t="s">
        <v>291</v>
      </c>
      <c r="B97" s="95"/>
      <c r="C97" s="96" t="s">
        <v>118</v>
      </c>
      <c r="D97" s="95" t="s">
        <v>290</v>
      </c>
      <c r="E97" s="95" t="s">
        <v>287</v>
      </c>
      <c r="F97" s="92">
        <f>75000+26690+12010</f>
        <v>113700</v>
      </c>
      <c r="G97" s="92">
        <f>72761.8+18735.6+6044.48+16151.08</f>
        <v>113692.95999999999</v>
      </c>
      <c r="H97" s="92">
        <f>G97</f>
        <v>113692.95999999999</v>
      </c>
      <c r="I97" s="92"/>
      <c r="J97" s="94"/>
      <c r="K97" s="93"/>
      <c r="L97" s="92"/>
      <c r="M97" s="94"/>
      <c r="N97" s="93"/>
      <c r="O97" s="92">
        <f>G97</f>
        <v>113692.95999999999</v>
      </c>
      <c r="P97" s="91">
        <f>F97-G97</f>
        <v>7.0400000000081491</v>
      </c>
      <c r="Q97" s="90"/>
      <c r="R97" s="89"/>
      <c r="S97" s="88"/>
      <c r="T97" s="87"/>
    </row>
    <row r="98" spans="1:20" s="98" customFormat="1" ht="12.75" customHeight="1">
      <c r="A98" s="107" t="s">
        <v>289</v>
      </c>
      <c r="B98" s="105"/>
      <c r="C98" s="106"/>
      <c r="D98" s="105"/>
      <c r="E98" s="105"/>
      <c r="F98" s="104">
        <f>F97</f>
        <v>113700</v>
      </c>
      <c r="G98" s="104">
        <f>G97</f>
        <v>113692.95999999999</v>
      </c>
      <c r="H98" s="104">
        <f>H97</f>
        <v>113692.95999999999</v>
      </c>
      <c r="I98" s="431"/>
      <c r="J98" s="432"/>
      <c r="K98" s="104">
        <f>K97</f>
        <v>0</v>
      </c>
      <c r="L98" s="431"/>
      <c r="M98" s="432"/>
      <c r="N98" s="104">
        <f>N97</f>
        <v>0</v>
      </c>
      <c r="O98" s="104">
        <f>O97</f>
        <v>113692.95999999999</v>
      </c>
      <c r="P98" s="103">
        <f>F98-G98</f>
        <v>7.0400000000081491</v>
      </c>
      <c r="Q98" s="102"/>
      <c r="R98" s="101"/>
      <c r="S98" s="100"/>
      <c r="T98" s="99"/>
    </row>
    <row r="99" spans="1:20" s="108" customFormat="1" ht="24" customHeight="1">
      <c r="A99" s="97" t="str">
        <f>A55</f>
        <v>Иные выплаты текущего характера организациям</v>
      </c>
      <c r="B99" s="95"/>
      <c r="C99" s="96" t="s">
        <v>119</v>
      </c>
      <c r="D99" s="110" t="s">
        <v>288</v>
      </c>
      <c r="E99" s="95" t="s">
        <v>287</v>
      </c>
      <c r="F99" s="92">
        <v>10000</v>
      </c>
      <c r="G99" s="92">
        <v>9999</v>
      </c>
      <c r="H99" s="92">
        <f>G99</f>
        <v>9999</v>
      </c>
      <c r="I99" s="92"/>
      <c r="J99" s="94"/>
      <c r="K99" s="94"/>
      <c r="L99" s="92"/>
      <c r="M99" s="94"/>
      <c r="N99" s="94"/>
      <c r="O99" s="92">
        <f>H99</f>
        <v>9999</v>
      </c>
      <c r="P99" s="91">
        <f>F99-G99</f>
        <v>1</v>
      </c>
      <c r="Q99" s="90"/>
      <c r="R99" s="89"/>
      <c r="S99" s="88"/>
      <c r="T99" s="109"/>
    </row>
    <row r="100" spans="1:20" s="98" customFormat="1" ht="12.75" customHeight="1">
      <c r="A100" s="107" t="s">
        <v>286</v>
      </c>
      <c r="B100" s="105"/>
      <c r="C100" s="106"/>
      <c r="D100" s="105"/>
      <c r="E100" s="105"/>
      <c r="F100" s="104">
        <f>F99</f>
        <v>10000</v>
      </c>
      <c r="G100" s="104">
        <f>G99</f>
        <v>9999</v>
      </c>
      <c r="H100" s="104">
        <f>H99</f>
        <v>9999</v>
      </c>
      <c r="I100" s="431"/>
      <c r="J100" s="432"/>
      <c r="K100" s="104">
        <f>K99</f>
        <v>0</v>
      </c>
      <c r="L100" s="431"/>
      <c r="M100" s="432"/>
      <c r="N100" s="104">
        <f>N99</f>
        <v>0</v>
      </c>
      <c r="O100" s="104">
        <f>O99</f>
        <v>9999</v>
      </c>
      <c r="P100" s="103">
        <f>P99</f>
        <v>1</v>
      </c>
      <c r="Q100" s="102"/>
      <c r="R100" s="101"/>
      <c r="S100" s="100"/>
      <c r="T100" s="99"/>
    </row>
    <row r="101" spans="1:20" s="86" customFormat="1" ht="24" customHeight="1">
      <c r="A101" s="97" t="s">
        <v>285</v>
      </c>
      <c r="B101" s="95" t="s">
        <v>31</v>
      </c>
      <c r="C101" s="96"/>
      <c r="D101" s="95"/>
      <c r="E101" s="95"/>
      <c r="F101" s="92">
        <f>13468700-F22</f>
        <v>-1221900</v>
      </c>
      <c r="G101" s="92">
        <f>13559005.94-G22</f>
        <v>-454467.0100000035</v>
      </c>
      <c r="H101" s="92">
        <f>G101</f>
        <v>-454467.0100000035</v>
      </c>
      <c r="I101" s="92"/>
      <c r="J101" s="94"/>
      <c r="K101" s="93"/>
      <c r="L101" s="92"/>
      <c r="M101" s="94"/>
      <c r="N101" s="93"/>
      <c r="O101" s="92">
        <f>H101</f>
        <v>-454467.0100000035</v>
      </c>
      <c r="P101" s="91"/>
      <c r="Q101" s="90"/>
      <c r="R101" s="89"/>
      <c r="S101" s="88"/>
      <c r="T101" s="87"/>
    </row>
    <row r="102" spans="1:20">
      <c r="A102" s="84"/>
      <c r="B102" s="84"/>
      <c r="C102" s="84"/>
      <c r="D102" s="84"/>
      <c r="E102" s="84"/>
      <c r="F102" s="81"/>
      <c r="G102" s="81"/>
      <c r="H102" s="81"/>
      <c r="I102" s="81"/>
      <c r="J102" s="81"/>
      <c r="K102" s="81"/>
      <c r="L102" s="82"/>
      <c r="M102" s="81"/>
      <c r="N102" s="81"/>
      <c r="O102" s="80"/>
      <c r="P102" s="80"/>
      <c r="Q102" s="85"/>
      <c r="R102" s="80"/>
    </row>
    <row r="103" spans="1:20">
      <c r="A103" s="84"/>
      <c r="B103" s="84"/>
      <c r="C103" s="84"/>
      <c r="D103" s="448"/>
      <c r="E103" s="448"/>
      <c r="F103" s="448"/>
      <c r="G103" s="81"/>
      <c r="H103" s="81"/>
      <c r="I103" s="81"/>
      <c r="J103" s="81"/>
      <c r="K103" s="81"/>
      <c r="L103" s="82"/>
      <c r="M103" s="81"/>
      <c r="N103" s="81"/>
      <c r="O103" s="80"/>
      <c r="P103" s="80"/>
      <c r="Q103" s="85"/>
      <c r="R103" s="80"/>
    </row>
    <row r="104" spans="1:20">
      <c r="A104" s="84" t="s">
        <v>284</v>
      </c>
      <c r="B104" s="84"/>
      <c r="C104" s="84"/>
      <c r="D104" s="84"/>
      <c r="E104" s="84"/>
      <c r="F104" s="81"/>
      <c r="G104" s="81"/>
      <c r="H104" s="81"/>
      <c r="I104" s="81"/>
      <c r="J104" s="81"/>
      <c r="K104" s="81"/>
      <c r="L104" s="82"/>
      <c r="M104" s="81"/>
      <c r="N104" s="81"/>
      <c r="O104" s="80"/>
      <c r="P104" s="80"/>
      <c r="Q104" s="85"/>
      <c r="R104" s="80"/>
    </row>
    <row r="105" spans="1:20">
      <c r="A105" s="84" t="s">
        <v>283</v>
      </c>
      <c r="B105" s="84"/>
      <c r="C105" s="84"/>
      <c r="D105" s="84"/>
      <c r="E105" s="84"/>
      <c r="F105" s="81"/>
      <c r="G105" s="81"/>
      <c r="H105" s="81"/>
      <c r="I105" s="81"/>
      <c r="J105" s="81"/>
      <c r="K105" s="81"/>
      <c r="L105" s="82"/>
      <c r="M105" s="81"/>
      <c r="N105" s="81"/>
      <c r="O105" s="80"/>
      <c r="P105" s="80"/>
      <c r="Q105" s="80"/>
      <c r="R105" s="80"/>
    </row>
    <row r="106" spans="1:20">
      <c r="A106" s="84"/>
      <c r="B106" s="84"/>
      <c r="C106" s="84"/>
      <c r="D106" s="84"/>
      <c r="E106" s="84"/>
      <c r="F106" s="81"/>
      <c r="G106" s="81"/>
      <c r="H106" s="81"/>
      <c r="I106" s="81"/>
      <c r="J106" s="81"/>
      <c r="K106" s="81"/>
      <c r="L106" s="82"/>
      <c r="M106" s="81"/>
      <c r="N106" s="81"/>
      <c r="O106" s="80"/>
      <c r="P106" s="80"/>
      <c r="Q106" s="80"/>
      <c r="R106" s="80"/>
    </row>
    <row r="107" spans="1:20">
      <c r="A107" s="84"/>
      <c r="B107" s="84"/>
      <c r="C107" s="84"/>
      <c r="D107" s="84"/>
      <c r="E107" s="84"/>
      <c r="F107" s="81"/>
      <c r="G107" s="81"/>
      <c r="H107" s="81"/>
      <c r="I107" s="81"/>
      <c r="J107" s="81"/>
      <c r="K107" s="81"/>
      <c r="L107" s="82"/>
      <c r="M107" s="81"/>
      <c r="N107" s="81"/>
      <c r="O107" s="80"/>
      <c r="P107" s="80"/>
      <c r="Q107" s="80"/>
      <c r="R107" s="80"/>
    </row>
    <row r="108" spans="1:20">
      <c r="A108" s="84" t="s">
        <v>282</v>
      </c>
      <c r="B108" s="84"/>
      <c r="C108" s="84"/>
      <c r="D108" s="84"/>
      <c r="E108" s="84"/>
      <c r="F108" s="83"/>
      <c r="G108" s="83"/>
      <c r="H108" s="81"/>
      <c r="I108" s="81"/>
      <c r="J108" s="81"/>
      <c r="K108" s="81"/>
      <c r="L108" s="82"/>
      <c r="M108" s="81"/>
      <c r="N108" s="81"/>
      <c r="O108" s="80"/>
      <c r="P108" s="80"/>
      <c r="Q108" s="80"/>
      <c r="R108" s="80"/>
    </row>
    <row r="109" spans="1:20">
      <c r="A109" s="84" t="s">
        <v>281</v>
      </c>
      <c r="B109" s="84"/>
      <c r="C109" s="84"/>
      <c r="D109" s="84"/>
      <c r="E109" s="84"/>
      <c r="F109" s="81"/>
      <c r="G109" s="81"/>
      <c r="H109" s="81"/>
      <c r="I109" s="81"/>
      <c r="J109" s="81"/>
      <c r="K109" s="81"/>
      <c r="L109" s="82"/>
      <c r="M109" s="81"/>
      <c r="N109" s="81"/>
      <c r="O109" s="80"/>
      <c r="P109" s="80"/>
      <c r="Q109" s="80"/>
      <c r="R109" s="80"/>
    </row>
    <row r="110" spans="1:20" ht="0.75" customHeight="1">
      <c r="A110" s="84"/>
      <c r="B110" s="84"/>
      <c r="C110" s="84"/>
      <c r="D110" s="84"/>
      <c r="E110" s="84"/>
      <c r="F110" s="83"/>
      <c r="G110" s="81"/>
      <c r="H110" s="81"/>
      <c r="I110" s="81"/>
      <c r="J110" s="81"/>
      <c r="K110" s="81"/>
      <c r="L110" s="82"/>
      <c r="M110" s="81"/>
      <c r="N110" s="81"/>
      <c r="O110" s="80"/>
      <c r="P110" s="80"/>
      <c r="Q110" s="80"/>
      <c r="R110" s="80"/>
    </row>
    <row r="111" spans="1:20" ht="71.25" hidden="1" customHeight="1">
      <c r="A111" s="84"/>
      <c r="B111" s="84"/>
      <c r="C111" s="84"/>
      <c r="D111" s="84"/>
      <c r="E111" s="84"/>
      <c r="F111" s="81"/>
      <c r="G111" s="81"/>
      <c r="H111" s="81"/>
      <c r="I111" s="81"/>
      <c r="J111" s="81"/>
      <c r="K111" s="81"/>
      <c r="L111" s="82"/>
      <c r="M111" s="81"/>
      <c r="N111" s="81"/>
      <c r="O111" s="80"/>
      <c r="P111" s="80"/>
      <c r="Q111" s="80"/>
      <c r="R111" s="80"/>
    </row>
    <row r="112" spans="1:20" ht="78" customHeight="1">
      <c r="A112" s="84"/>
      <c r="B112" s="84"/>
      <c r="C112" s="84"/>
      <c r="D112" s="84"/>
      <c r="E112" s="84"/>
      <c r="F112" s="83"/>
      <c r="G112" s="83"/>
      <c r="H112" s="83"/>
      <c r="I112" s="81"/>
      <c r="J112" s="81"/>
      <c r="K112" s="81"/>
      <c r="L112" s="82"/>
      <c r="M112" s="81"/>
      <c r="N112" s="81"/>
      <c r="O112" s="80"/>
      <c r="P112" s="80"/>
      <c r="Q112" s="80"/>
      <c r="R112" s="80"/>
    </row>
    <row r="113" spans="4:16" s="72" customFormat="1">
      <c r="D113" s="77"/>
      <c r="E113" s="77"/>
      <c r="F113" s="78"/>
      <c r="G113" s="78"/>
      <c r="H113" s="75"/>
      <c r="I113" s="75"/>
      <c r="J113" s="75"/>
      <c r="K113" s="75"/>
      <c r="L113" s="76"/>
      <c r="M113" s="75"/>
      <c r="N113" s="75"/>
    </row>
    <row r="114" spans="4:16" s="72" customFormat="1">
      <c r="D114" s="436"/>
      <c r="E114" s="436"/>
      <c r="F114" s="78"/>
      <c r="G114" s="78"/>
      <c r="H114" s="78"/>
      <c r="I114" s="78"/>
      <c r="J114" s="78"/>
      <c r="K114" s="78"/>
      <c r="L114" s="79"/>
      <c r="M114" s="78"/>
      <c r="N114" s="78"/>
      <c r="O114" s="78"/>
      <c r="P114" s="78"/>
    </row>
    <row r="115" spans="4:16" s="72" customFormat="1">
      <c r="D115" s="436"/>
      <c r="E115" s="436"/>
      <c r="F115" s="78"/>
      <c r="G115" s="78"/>
      <c r="H115" s="78"/>
      <c r="I115" s="78"/>
      <c r="J115" s="78"/>
      <c r="K115" s="78"/>
      <c r="L115" s="79"/>
      <c r="M115" s="78"/>
      <c r="N115" s="78"/>
      <c r="O115" s="78"/>
      <c r="P115" s="78"/>
    </row>
    <row r="116" spans="4:16" s="72" customFormat="1">
      <c r="D116" s="77"/>
      <c r="E116" s="77"/>
      <c r="F116" s="78"/>
      <c r="G116" s="78"/>
      <c r="H116" s="78"/>
      <c r="I116" s="78"/>
      <c r="J116" s="78"/>
      <c r="K116" s="78"/>
      <c r="L116" s="79"/>
      <c r="M116" s="78"/>
      <c r="N116" s="78"/>
      <c r="O116" s="78"/>
      <c r="P116" s="78"/>
    </row>
    <row r="117" spans="4:16" s="72" customFormat="1">
      <c r="D117" s="77"/>
      <c r="E117" s="77"/>
      <c r="F117" s="78"/>
      <c r="G117" s="78"/>
      <c r="H117" s="78"/>
      <c r="I117" s="78"/>
      <c r="J117" s="78"/>
      <c r="K117" s="78"/>
      <c r="L117" s="79"/>
      <c r="M117" s="78"/>
      <c r="N117" s="78"/>
      <c r="O117" s="78"/>
      <c r="P117" s="78"/>
    </row>
    <row r="118" spans="4:16" s="72" customFormat="1">
      <c r="D118" s="77"/>
      <c r="E118" s="77"/>
      <c r="F118" s="78"/>
      <c r="G118" s="78"/>
      <c r="H118" s="78"/>
      <c r="I118" s="78"/>
      <c r="J118" s="78"/>
      <c r="K118" s="78"/>
      <c r="L118" s="79"/>
      <c r="M118" s="78"/>
      <c r="N118" s="78"/>
      <c r="O118" s="78"/>
      <c r="P118" s="78"/>
    </row>
    <row r="119" spans="4:16" s="72" customFormat="1">
      <c r="D119" s="77"/>
      <c r="E119" s="77"/>
      <c r="F119" s="78"/>
      <c r="G119" s="78"/>
      <c r="H119" s="78"/>
      <c r="I119" s="78"/>
      <c r="J119" s="78"/>
      <c r="K119" s="78"/>
      <c r="L119" s="79"/>
      <c r="M119" s="78"/>
      <c r="N119" s="78"/>
      <c r="O119" s="78"/>
      <c r="P119" s="78"/>
    </row>
    <row r="120" spans="4:16" s="72" customFormat="1">
      <c r="D120" s="77"/>
      <c r="E120" s="77"/>
      <c r="F120" s="78"/>
      <c r="G120" s="78"/>
      <c r="H120" s="78"/>
      <c r="I120" s="78"/>
      <c r="J120" s="78"/>
      <c r="K120" s="78"/>
      <c r="L120" s="79"/>
      <c r="M120" s="78"/>
      <c r="N120" s="78"/>
      <c r="O120" s="78"/>
      <c r="P120" s="78"/>
    </row>
    <row r="121" spans="4:16" s="72" customFormat="1">
      <c r="D121" s="77"/>
      <c r="E121" s="77"/>
      <c r="F121" s="78"/>
      <c r="G121" s="78"/>
      <c r="H121" s="78"/>
      <c r="I121" s="78"/>
      <c r="J121" s="78"/>
      <c r="K121" s="78"/>
      <c r="L121" s="79"/>
      <c r="M121" s="78"/>
      <c r="N121" s="78"/>
      <c r="O121" s="78"/>
      <c r="P121" s="78"/>
    </row>
    <row r="122" spans="4:16" s="72" customFormat="1">
      <c r="D122" s="77"/>
      <c r="E122" s="77"/>
      <c r="F122" s="78"/>
      <c r="G122" s="78"/>
      <c r="H122" s="78"/>
      <c r="I122" s="78"/>
      <c r="J122" s="78"/>
      <c r="K122" s="78"/>
      <c r="L122" s="79"/>
      <c r="M122" s="78"/>
      <c r="N122" s="78"/>
      <c r="O122" s="78"/>
      <c r="P122" s="78"/>
    </row>
    <row r="123" spans="4:16" s="72" customFormat="1">
      <c r="D123" s="77"/>
      <c r="E123" s="77"/>
      <c r="F123" s="78"/>
      <c r="G123" s="78"/>
      <c r="H123" s="78"/>
      <c r="I123" s="78"/>
      <c r="J123" s="78"/>
      <c r="K123" s="78"/>
      <c r="L123" s="79"/>
      <c r="M123" s="78"/>
      <c r="N123" s="78"/>
      <c r="O123" s="78"/>
      <c r="P123" s="78"/>
    </row>
    <row r="124" spans="4:16" s="72" customFormat="1">
      <c r="D124" s="77"/>
      <c r="E124" s="77"/>
      <c r="F124" s="78"/>
      <c r="G124" s="78"/>
      <c r="H124" s="78"/>
      <c r="I124" s="78"/>
      <c r="J124" s="78"/>
      <c r="K124" s="78"/>
      <c r="L124" s="79"/>
      <c r="M124" s="78"/>
      <c r="N124" s="78"/>
      <c r="O124" s="78"/>
      <c r="P124" s="78"/>
    </row>
    <row r="125" spans="4:16" s="72" customFormat="1">
      <c r="D125" s="77"/>
      <c r="E125" s="77"/>
      <c r="F125" s="78"/>
      <c r="G125" s="78"/>
      <c r="H125" s="78"/>
      <c r="I125" s="78"/>
      <c r="J125" s="78"/>
      <c r="K125" s="78"/>
      <c r="L125" s="79"/>
      <c r="M125" s="78"/>
      <c r="N125" s="78"/>
      <c r="O125" s="78"/>
      <c r="P125" s="78"/>
    </row>
  </sheetData>
  <mergeCells count="100">
    <mergeCell ref="I21:K21"/>
    <mergeCell ref="I28:J28"/>
    <mergeCell ref="I31:J31"/>
    <mergeCell ref="Q26:R26"/>
    <mergeCell ref="L29:M29"/>
    <mergeCell ref="Q24:R24"/>
    <mergeCell ref="I26:K26"/>
    <mergeCell ref="I36:J36"/>
    <mergeCell ref="I23:K23"/>
    <mergeCell ref="L23:N23"/>
    <mergeCell ref="H17:H20"/>
    <mergeCell ref="L38:M38"/>
    <mergeCell ref="L24:N24"/>
    <mergeCell ref="L26:N26"/>
    <mergeCell ref="I33:J33"/>
    <mergeCell ref="I32:J32"/>
    <mergeCell ref="I22:K22"/>
    <mergeCell ref="I17:K20"/>
    <mergeCell ref="L17:N20"/>
    <mergeCell ref="L22:N22"/>
    <mergeCell ref="I27:K27"/>
    <mergeCell ref="L27:N27"/>
    <mergeCell ref="I24:K24"/>
    <mergeCell ref="A4:P4"/>
    <mergeCell ref="G11:O11"/>
    <mergeCell ref="G10:O10"/>
    <mergeCell ref="A10:F10"/>
    <mergeCell ref="G9:O9"/>
    <mergeCell ref="A11:F11"/>
    <mergeCell ref="D15:D20"/>
    <mergeCell ref="E15:E20"/>
    <mergeCell ref="Q13:R13"/>
    <mergeCell ref="A13:F13"/>
    <mergeCell ref="Q10:R10"/>
    <mergeCell ref="P15:R16"/>
    <mergeCell ref="A12:F12"/>
    <mergeCell ref="H15:O16"/>
    <mergeCell ref="C15:C20"/>
    <mergeCell ref="G15:G20"/>
    <mergeCell ref="Q17:R20"/>
    <mergeCell ref="P17:P20"/>
    <mergeCell ref="O17:O20"/>
    <mergeCell ref="F15:F20"/>
    <mergeCell ref="I78:J78"/>
    <mergeCell ref="I30:J30"/>
    <mergeCell ref="L30:M30"/>
    <mergeCell ref="I1:Q1"/>
    <mergeCell ref="Q7:R7"/>
    <mergeCell ref="Q9:R9"/>
    <mergeCell ref="Q8:R8"/>
    <mergeCell ref="A9:F9"/>
    <mergeCell ref="I29:J29"/>
    <mergeCell ref="I25:J25"/>
    <mergeCell ref="L25:M25"/>
    <mergeCell ref="L21:N21"/>
    <mergeCell ref="A2:P2"/>
    <mergeCell ref="A5:P5"/>
    <mergeCell ref="A3:P3"/>
    <mergeCell ref="Q11:R11"/>
    <mergeCell ref="Q12:R12"/>
    <mergeCell ref="Q5:R5"/>
    <mergeCell ref="Q6:R6"/>
    <mergeCell ref="L87:M87"/>
    <mergeCell ref="L59:M59"/>
    <mergeCell ref="L63:M63"/>
    <mergeCell ref="L45:N45"/>
    <mergeCell ref="Q22:R22"/>
    <mergeCell ref="Q23:R23"/>
    <mergeCell ref="Q21:R21"/>
    <mergeCell ref="Q27:R27"/>
    <mergeCell ref="D115:E115"/>
    <mergeCell ref="I96:J96"/>
    <mergeCell ref="L96:M96"/>
    <mergeCell ref="I98:J98"/>
    <mergeCell ref="L98:M98"/>
    <mergeCell ref="I100:J100"/>
    <mergeCell ref="L100:M100"/>
    <mergeCell ref="D114:E114"/>
    <mergeCell ref="D103:F103"/>
    <mergeCell ref="I76:J76"/>
    <mergeCell ref="I87:J87"/>
    <mergeCell ref="I77:J77"/>
    <mergeCell ref="L67:M67"/>
    <mergeCell ref="L33:M33"/>
    <mergeCell ref="I35:J35"/>
    <mergeCell ref="L34:M34"/>
    <mergeCell ref="I38:J38"/>
    <mergeCell ref="I34:J34"/>
    <mergeCell ref="I42:J42"/>
    <mergeCell ref="I46:J46"/>
    <mergeCell ref="I65:J65"/>
    <mergeCell ref="I59:J59"/>
    <mergeCell ref="I63:J63"/>
    <mergeCell ref="I67:J67"/>
    <mergeCell ref="I45:K45"/>
    <mergeCell ref="I92:J92"/>
    <mergeCell ref="I93:J93"/>
    <mergeCell ref="I94:J94"/>
    <mergeCell ref="I81:J81"/>
    <mergeCell ref="L81:M81"/>
  </mergeCells>
  <pageMargins left="0.59055118110236227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B1:G33"/>
  <sheetViews>
    <sheetView showGridLines="0" topLeftCell="A10" workbookViewId="0">
      <selection activeCell="B35" sqref="B35"/>
    </sheetView>
  </sheetViews>
  <sheetFormatPr defaultRowHeight="12.75" customHeight="1"/>
  <cols>
    <col min="2" max="2" width="42.28515625" customWidth="1"/>
    <col min="3" max="3" width="5.5703125" customWidth="1"/>
    <col min="4" max="4" width="32" customWidth="1"/>
    <col min="5" max="5" width="17" customWidth="1"/>
    <col min="6" max="6" width="14" customWidth="1"/>
    <col min="7" max="7" width="13" customWidth="1"/>
  </cols>
  <sheetData>
    <row r="1" spans="2:7" ht="11.1" customHeight="1">
      <c r="B1" s="491" t="s">
        <v>33</v>
      </c>
      <c r="C1" s="491"/>
      <c r="D1" s="491"/>
      <c r="E1" s="491"/>
      <c r="F1" s="491"/>
      <c r="G1" s="491"/>
    </row>
    <row r="2" spans="2:7" ht="13.15" customHeight="1">
      <c r="B2" s="490" t="s">
        <v>34</v>
      </c>
      <c r="C2" s="490"/>
      <c r="D2" s="490"/>
      <c r="E2" s="490"/>
      <c r="F2" s="490"/>
      <c r="G2" s="490"/>
    </row>
    <row r="3" spans="2:7" ht="9" customHeight="1" thickBot="1">
      <c r="B3" s="1"/>
      <c r="C3" s="21"/>
      <c r="D3" s="15"/>
      <c r="E3" s="2"/>
      <c r="F3" s="2"/>
      <c r="G3" s="15"/>
    </row>
    <row r="4" spans="2:7" ht="13.9" customHeight="1">
      <c r="B4" s="492" t="s">
        <v>9</v>
      </c>
      <c r="C4" s="495" t="s">
        <v>10</v>
      </c>
      <c r="D4" s="501" t="s">
        <v>35</v>
      </c>
      <c r="E4" s="498" t="s">
        <v>11</v>
      </c>
      <c r="F4" s="498" t="s">
        <v>12</v>
      </c>
      <c r="G4" s="504" t="s">
        <v>13</v>
      </c>
    </row>
    <row r="5" spans="2:7" ht="4.9000000000000004" customHeight="1">
      <c r="B5" s="493"/>
      <c r="C5" s="496"/>
      <c r="D5" s="502"/>
      <c r="E5" s="499"/>
      <c r="F5" s="499"/>
      <c r="G5" s="505"/>
    </row>
    <row r="6" spans="2:7" ht="6" customHeight="1">
      <c r="B6" s="493"/>
      <c r="C6" s="496"/>
      <c r="D6" s="502"/>
      <c r="E6" s="499"/>
      <c r="F6" s="499"/>
      <c r="G6" s="505"/>
    </row>
    <row r="7" spans="2:7" ht="4.9000000000000004" customHeight="1">
      <c r="B7" s="493"/>
      <c r="C7" s="496"/>
      <c r="D7" s="502"/>
      <c r="E7" s="499"/>
      <c r="F7" s="499"/>
      <c r="G7" s="505"/>
    </row>
    <row r="8" spans="2:7" ht="6" customHeight="1">
      <c r="B8" s="493"/>
      <c r="C8" s="496"/>
      <c r="D8" s="502"/>
      <c r="E8" s="499"/>
      <c r="F8" s="499"/>
      <c r="G8" s="505"/>
    </row>
    <row r="9" spans="2:7" ht="6" customHeight="1">
      <c r="B9" s="493"/>
      <c r="C9" s="496"/>
      <c r="D9" s="502"/>
      <c r="E9" s="499"/>
      <c r="F9" s="499"/>
      <c r="G9" s="505"/>
    </row>
    <row r="10" spans="2:7" ht="18" customHeight="1">
      <c r="B10" s="494"/>
      <c r="C10" s="497"/>
      <c r="D10" s="503"/>
      <c r="E10" s="500"/>
      <c r="F10" s="500"/>
      <c r="G10" s="506"/>
    </row>
    <row r="11" spans="2:7" ht="13.5" customHeight="1" thickBot="1">
      <c r="B11" s="3">
        <v>1</v>
      </c>
      <c r="C11" s="4">
        <v>2</v>
      </c>
      <c r="D11" s="5">
        <v>3</v>
      </c>
      <c r="E11" s="6" t="s">
        <v>14</v>
      </c>
      <c r="F11" s="16" t="s">
        <v>15</v>
      </c>
      <c r="G11" s="7" t="s">
        <v>16</v>
      </c>
    </row>
    <row r="12" spans="2:7" ht="22.5">
      <c r="B12" s="22" t="s">
        <v>36</v>
      </c>
      <c r="C12" s="23" t="s">
        <v>37</v>
      </c>
      <c r="D12" s="24" t="s">
        <v>30</v>
      </c>
      <c r="E12" s="25">
        <f>E20</f>
        <v>1221900</v>
      </c>
      <c r="F12" s="25">
        <f>F20</f>
        <v>-672623.78000000119</v>
      </c>
      <c r="G12" s="26" t="s">
        <v>30</v>
      </c>
    </row>
    <row r="13" spans="2:7">
      <c r="B13" s="27" t="s">
        <v>17</v>
      </c>
      <c r="C13" s="28"/>
      <c r="D13" s="29"/>
      <c r="E13" s="30"/>
      <c r="F13" s="30"/>
      <c r="G13" s="31"/>
    </row>
    <row r="14" spans="2:7" ht="12" customHeight="1">
      <c r="B14" s="17" t="s">
        <v>38</v>
      </c>
      <c r="C14" s="32" t="s">
        <v>39</v>
      </c>
      <c r="D14" s="33" t="s">
        <v>30</v>
      </c>
      <c r="E14" s="18" t="s">
        <v>19</v>
      </c>
      <c r="F14" s="18">
        <v>0</v>
      </c>
      <c r="G14" s="19" t="s">
        <v>19</v>
      </c>
    </row>
    <row r="15" spans="2:7">
      <c r="B15" s="27" t="s">
        <v>40</v>
      </c>
      <c r="C15" s="28"/>
      <c r="D15" s="29"/>
      <c r="E15" s="30"/>
      <c r="F15" s="30"/>
      <c r="G15" s="31"/>
    </row>
    <row r="16" spans="2:7" ht="33.75">
      <c r="B16" s="11" t="s">
        <v>41</v>
      </c>
      <c r="C16" s="12" t="s">
        <v>39</v>
      </c>
      <c r="D16" s="34" t="s">
        <v>42</v>
      </c>
      <c r="E16" s="13">
        <f>F16</f>
        <v>0</v>
      </c>
      <c r="F16" s="13">
        <v>0</v>
      </c>
      <c r="G16" s="14"/>
    </row>
    <row r="17" spans="2:7" ht="33.75">
      <c r="B17" s="8" t="s">
        <v>43</v>
      </c>
      <c r="C17" s="9" t="s">
        <v>39</v>
      </c>
      <c r="D17" s="35" t="s">
        <v>44</v>
      </c>
      <c r="E17" s="10">
        <f>E16</f>
        <v>0</v>
      </c>
      <c r="F17" s="10">
        <v>0</v>
      </c>
      <c r="G17" s="20" t="s">
        <v>19</v>
      </c>
    </row>
    <row r="18" spans="2:7">
      <c r="B18" s="17" t="s">
        <v>45</v>
      </c>
      <c r="C18" s="32" t="s">
        <v>46</v>
      </c>
      <c r="D18" s="33" t="s">
        <v>30</v>
      </c>
      <c r="E18" s="18" t="s">
        <v>19</v>
      </c>
      <c r="F18" s="18" t="s">
        <v>19</v>
      </c>
      <c r="G18" s="19" t="s">
        <v>19</v>
      </c>
    </row>
    <row r="19" spans="2:7">
      <c r="B19" s="27" t="s">
        <v>40</v>
      </c>
      <c r="C19" s="28"/>
      <c r="D19" s="29"/>
      <c r="E19" s="30"/>
      <c r="F19" s="30"/>
      <c r="G19" s="31"/>
    </row>
    <row r="20" spans="2:7">
      <c r="B20" s="22" t="s">
        <v>47</v>
      </c>
      <c r="C20" s="23" t="s">
        <v>48</v>
      </c>
      <c r="D20" s="24" t="s">
        <v>49</v>
      </c>
      <c r="E20" s="25">
        <f>E21</f>
        <v>1221900</v>
      </c>
      <c r="F20" s="25">
        <f>F21</f>
        <v>-672623.78000000119</v>
      </c>
      <c r="G20" s="26" t="s">
        <v>19</v>
      </c>
    </row>
    <row r="21" spans="2:7" ht="22.5">
      <c r="B21" s="22" t="s">
        <v>50</v>
      </c>
      <c r="C21" s="23" t="s">
        <v>48</v>
      </c>
      <c r="D21" s="24" t="s">
        <v>51</v>
      </c>
      <c r="E21" s="25">
        <v>1221900</v>
      </c>
      <c r="F21" s="25">
        <f>F22+F25</f>
        <v>-672623.78000000119</v>
      </c>
      <c r="G21" s="26" t="s">
        <v>19</v>
      </c>
    </row>
    <row r="22" spans="2:7">
      <c r="B22" s="22" t="s">
        <v>52</v>
      </c>
      <c r="C22" s="23" t="s">
        <v>53</v>
      </c>
      <c r="D22" s="24" t="s">
        <v>54</v>
      </c>
      <c r="E22" s="25">
        <v>13468700</v>
      </c>
      <c r="F22" s="25">
        <v>-14686096.73</v>
      </c>
      <c r="G22" s="26" t="s">
        <v>32</v>
      </c>
    </row>
    <row r="23" spans="2:7" ht="22.5">
      <c r="B23" s="8" t="s">
        <v>55</v>
      </c>
      <c r="C23" s="9" t="s">
        <v>53</v>
      </c>
      <c r="D23" s="35" t="s">
        <v>56</v>
      </c>
      <c r="E23" s="10">
        <f>E22</f>
        <v>13468700</v>
      </c>
      <c r="F23" s="10">
        <f>F22</f>
        <v>-14686096.73</v>
      </c>
      <c r="G23" s="20" t="s">
        <v>32</v>
      </c>
    </row>
    <row r="24" spans="2:7" ht="22.5">
      <c r="B24" s="8" t="s">
        <v>57</v>
      </c>
      <c r="C24" s="9" t="s">
        <v>53</v>
      </c>
      <c r="D24" s="35" t="s">
        <v>58</v>
      </c>
      <c r="E24" s="41">
        <f>E23</f>
        <v>13468700</v>
      </c>
      <c r="F24" s="41">
        <f>F23</f>
        <v>-14686096.73</v>
      </c>
      <c r="G24" s="20" t="s">
        <v>32</v>
      </c>
    </row>
    <row r="25" spans="2:7">
      <c r="B25" s="22" t="s">
        <v>59</v>
      </c>
      <c r="C25" s="23" t="s">
        <v>60</v>
      </c>
      <c r="D25" s="24" t="s">
        <v>61</v>
      </c>
      <c r="E25" s="42">
        <v>14690600</v>
      </c>
      <c r="F25" s="42">
        <v>14013472.949999999</v>
      </c>
      <c r="G25" s="26" t="s">
        <v>32</v>
      </c>
    </row>
    <row r="26" spans="2:7" ht="22.5">
      <c r="B26" s="8" t="s">
        <v>62</v>
      </c>
      <c r="C26" s="23" t="s">
        <v>60</v>
      </c>
      <c r="D26" s="35" t="s">
        <v>81</v>
      </c>
      <c r="E26" s="45">
        <f>E25</f>
        <v>14690600</v>
      </c>
      <c r="F26" s="45">
        <f>F25</f>
        <v>14013472.949999999</v>
      </c>
      <c r="G26" s="26"/>
    </row>
    <row r="27" spans="2:7" ht="23.25" thickBot="1">
      <c r="B27" s="8" t="s">
        <v>62</v>
      </c>
      <c r="C27" s="9" t="s">
        <v>60</v>
      </c>
      <c r="D27" s="35" t="s">
        <v>63</v>
      </c>
      <c r="E27" s="41">
        <f>E26</f>
        <v>14690600</v>
      </c>
      <c r="F27" s="41">
        <f>F26</f>
        <v>14013472.949999999</v>
      </c>
      <c r="G27" s="20" t="s">
        <v>32</v>
      </c>
    </row>
    <row r="28" spans="2:7" ht="37.5" customHeight="1">
      <c r="B28" s="36"/>
      <c r="C28" s="37"/>
      <c r="D28" s="38"/>
      <c r="E28" s="39"/>
      <c r="F28" s="39"/>
      <c r="G28" s="40"/>
    </row>
    <row r="29" spans="2:7" ht="12.75" customHeight="1">
      <c r="B29" s="43" t="s">
        <v>132</v>
      </c>
      <c r="E29" s="44"/>
      <c r="G29" s="43" t="s">
        <v>133</v>
      </c>
    </row>
    <row r="30" spans="2:7" ht="18" customHeight="1"/>
    <row r="31" spans="2:7" ht="12.75" customHeight="1">
      <c r="B31" s="43" t="s">
        <v>129</v>
      </c>
      <c r="E31" s="44"/>
      <c r="G31" t="s">
        <v>130</v>
      </c>
    </row>
    <row r="32" spans="2:7" ht="15" customHeight="1"/>
    <row r="33" spans="2:7" ht="12.75" customHeight="1">
      <c r="B33" s="43" t="s">
        <v>91</v>
      </c>
      <c r="E33" s="44"/>
      <c r="G33" s="43" t="s">
        <v>92</v>
      </c>
    </row>
  </sheetData>
  <mergeCells count="8">
    <mergeCell ref="B2:G2"/>
    <mergeCell ref="B1:G1"/>
    <mergeCell ref="B4:B10"/>
    <mergeCell ref="C4:C10"/>
    <mergeCell ref="E4:E10"/>
    <mergeCell ref="D4:D10"/>
    <mergeCell ref="F4:F10"/>
    <mergeCell ref="G4:G10"/>
  </mergeCells>
  <conditionalFormatting sqref="G15:G17 F15 F13:G13 F102:G102">
    <cfRule type="cellIs" priority="2" stopIfTrue="1" operator="equal">
      <formula>0</formula>
    </cfRule>
  </conditionalFormatting>
  <conditionalFormatting sqref="G31 G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64</v>
      </c>
      <c r="B1" t="s">
        <v>15</v>
      </c>
    </row>
    <row r="2" spans="1:2">
      <c r="A2" t="s">
        <v>65</v>
      </c>
      <c r="B2" t="s">
        <v>66</v>
      </c>
    </row>
    <row r="3" spans="1:2">
      <c r="A3" t="s">
        <v>67</v>
      </c>
      <c r="B3" t="s">
        <v>4</v>
      </c>
    </row>
    <row r="4" spans="1:2">
      <c r="A4" t="s">
        <v>68</v>
      </c>
      <c r="B4" t="s">
        <v>69</v>
      </c>
    </row>
    <row r="5" spans="1:2">
      <c r="A5" t="s">
        <v>70</v>
      </c>
      <c r="B5" t="s">
        <v>71</v>
      </c>
    </row>
    <row r="6" spans="1:2">
      <c r="A6" t="s">
        <v>72</v>
      </c>
      <c r="B6" t="s">
        <v>73</v>
      </c>
    </row>
    <row r="7" spans="1:2">
      <c r="A7" t="s">
        <v>74</v>
      </c>
      <c r="B7" t="s">
        <v>73</v>
      </c>
    </row>
    <row r="8" spans="1:2">
      <c r="A8" t="s">
        <v>75</v>
      </c>
      <c r="B8" t="s">
        <v>76</v>
      </c>
    </row>
    <row r="9" spans="1:2">
      <c r="A9" t="s">
        <v>77</v>
      </c>
      <c r="B9" t="s">
        <v>78</v>
      </c>
    </row>
    <row r="10" spans="1:2">
      <c r="A10" t="s">
        <v>79</v>
      </c>
      <c r="B10" t="s">
        <v>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 </vt:lpstr>
      <vt:lpstr>_params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'Источники '!APPT</vt:lpstr>
      <vt:lpstr>detailStartExpend</vt:lpstr>
      <vt:lpstr>'Источники '!LAST_CELL</vt:lpstr>
      <vt:lpstr>'Источники '!RBEGIN_1</vt:lpstr>
      <vt:lpstr>'Источники '!REND_1</vt:lpstr>
      <vt:lpstr>'Источники '!S_520</vt:lpstr>
      <vt:lpstr>'Источники '!S_620</vt:lpstr>
      <vt:lpstr>'Источники '!S_700</vt:lpstr>
      <vt:lpstr>'Источники '!S_700A</vt:lpstr>
      <vt:lpstr>'Источники '!SIGN</vt:lpstr>
      <vt:lpstr>Доходы!Область_печати</vt:lpstr>
      <vt:lpstr>Расходы_Last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rep:2.43.2.48</dc:description>
  <cp:lastModifiedBy>USER</cp:lastModifiedBy>
  <cp:lastPrinted>2021-12-03T12:25:39Z</cp:lastPrinted>
  <dcterms:created xsi:type="dcterms:W3CDTF">2017-12-02T08:17:03Z</dcterms:created>
  <dcterms:modified xsi:type="dcterms:W3CDTF">2022-01-10T10:34:36Z</dcterms:modified>
</cp:coreProperties>
</file>