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20" activeTab="1"/>
  </bookViews>
  <sheets>
    <sheet name="Доходы " sheetId="1" r:id="rId1"/>
    <sheet name="расходы" sheetId="8" r:id="rId2"/>
    <sheet name="Источники " sheetId="3" r:id="rId3"/>
    <sheet name="_params" sheetId="4" state="hidden" r:id="rId4"/>
  </sheets>
  <externalReferences>
    <externalReference r:id="rId5"/>
  </externalReferences>
  <definedNames>
    <definedName name="_Beg0104">расходы!#REF!</definedName>
    <definedName name="_Beg0105">расходы!#REF!</definedName>
    <definedName name="_Beg0106">расходы!#REF!</definedName>
    <definedName name="_Beg0107">расходы!#REF!</definedName>
    <definedName name="_Beg0108">расходы!#REF!</definedName>
    <definedName name="_Beg0109">расходы!#REF!</definedName>
    <definedName name="_Beg0204">расходы!$F$23</definedName>
    <definedName name="_Beg0205">расходы!$G$23</definedName>
    <definedName name="_Beg0206">расходы!$H$23</definedName>
    <definedName name="_Beg0207">расходы!$I$23</definedName>
    <definedName name="_Beg0208">расходы!$L$23</definedName>
    <definedName name="_Beg0209">расходы!$O$23</definedName>
    <definedName name="_Beg0210">расходы!$P$23</definedName>
    <definedName name="_Beg0211">расходы!$Q$23</definedName>
    <definedName name="_Beg0304">расходы!#REF!</definedName>
    <definedName name="_Beg0305">расходы!#REF!</definedName>
    <definedName name="_Beg0306">расходы!#REF!</definedName>
    <definedName name="_Beg0307">расходы!#REF!</definedName>
    <definedName name="_Beg0308">расходы!#REF!</definedName>
    <definedName name="_Beg0309">расходы!#REF!</definedName>
    <definedName name="_Beg0404">расходы!#REF!</definedName>
    <definedName name="_Beg0405">расходы!#REF!</definedName>
    <definedName name="_Beg0406">расходы!#REF!</definedName>
    <definedName name="_Beg0407">расходы!#REF!</definedName>
    <definedName name="_Beg0408">расходы!#REF!</definedName>
    <definedName name="_Beg0409">расходы!#REF!</definedName>
    <definedName name="_Sum0104">расходы!#REF!</definedName>
    <definedName name="_Sum0105">расходы!#REF!</definedName>
    <definedName name="_Sum0106">расходы!#REF!</definedName>
    <definedName name="_Sum0107">расходы!#REF!</definedName>
    <definedName name="_Sum0108">расходы!#REF!</definedName>
    <definedName name="_Sum0109">расходы!#REF!</definedName>
    <definedName name="_Sum0204">расходы!#REF!</definedName>
    <definedName name="_Sum0205">расходы!#REF!</definedName>
    <definedName name="_Sum0206">расходы!#REF!</definedName>
    <definedName name="_Sum0207">расходы!#REF!</definedName>
    <definedName name="_Sum0208">расходы!#REF!</definedName>
    <definedName name="_Sum0209">расходы!#REF!</definedName>
    <definedName name="_Sum0210">расходы!#REF!</definedName>
    <definedName name="_Sum0211">расходы!#REF!</definedName>
    <definedName name="_Sum0304">расходы!#REF!</definedName>
    <definedName name="_Sum0305">расходы!#REF!</definedName>
    <definedName name="_Sum0306">расходы!#REF!</definedName>
    <definedName name="_Sum0307">расходы!#REF!</definedName>
    <definedName name="_Sum0308">расходы!#REF!</definedName>
    <definedName name="_Sum0309">расходы!#REF!</definedName>
    <definedName name="_Sum0404">расходы!#REF!</definedName>
    <definedName name="_Sum0405">расходы!#REF!</definedName>
    <definedName name="_Sum0406">расходы!#REF!</definedName>
    <definedName name="_Sum0407">расходы!#REF!</definedName>
    <definedName name="_Sum0408">расходы!#REF!</definedName>
    <definedName name="_Sum0409">расходы!#REF!</definedName>
    <definedName name="APPT" localSheetId="0">'Доходы '!$B$24</definedName>
    <definedName name="APPT" localSheetId="2">'Источники '!$B$25</definedName>
    <definedName name="detailEndExpend">расходы!#REF!</definedName>
    <definedName name="detailEndFinSrcI">расходы!#REF!</definedName>
    <definedName name="detailEndFinSrcO">расходы!#REF!</definedName>
    <definedName name="detailEndIncome">расходы!#REF!</definedName>
    <definedName name="detailStartExpend">расходы!$B$23</definedName>
    <definedName name="detailStartFinSrcI">расходы!#REF!</definedName>
    <definedName name="detailStartFinSrcO">расходы!#REF!</definedName>
    <definedName name="detailStartIncome">расходы!#REF!</definedName>
    <definedName name="FILE_NAME" localSheetId="0">'Доходы '!$I$3</definedName>
    <definedName name="FIO" localSheetId="0">'Доходы '!$E$24</definedName>
    <definedName name="FORM_CODE" localSheetId="0">'Доходы '!$I$5</definedName>
    <definedName name="LAST_CELL" localSheetId="0">'Доходы '!$G$88</definedName>
    <definedName name="LAST_CELL" localSheetId="2">'Источники '!$G$27</definedName>
    <definedName name="LoadScript">#REF!</definedName>
    <definedName name="PARAMS" localSheetId="0">'Доходы '!$I$1</definedName>
    <definedName name="PERIOD" localSheetId="0">'Доходы '!$I$6</definedName>
    <definedName name="RANGE_NAMES" localSheetId="0">'Доходы '!$I$9</definedName>
    <definedName name="RBEGIN_1" localSheetId="0">'Доходы '!$B$19</definedName>
    <definedName name="RBEGIN_1" localSheetId="2">'Источники '!$B$12</definedName>
    <definedName name="REG_DATE" localSheetId="0">'Доходы '!$I$4</definedName>
    <definedName name="REND_1" localSheetId="0">'Доходы '!$B$88</definedName>
    <definedName name="REND_1" localSheetId="2">'Источники '!$B$27</definedName>
    <definedName name="S_520" localSheetId="2">'Источники '!$B$14</definedName>
    <definedName name="S_620" localSheetId="2">'Источники '!$B$18</definedName>
    <definedName name="S_700" localSheetId="2">'Источники '!$B$20</definedName>
    <definedName name="S_700A" localSheetId="2">'Источники '!$B$21</definedName>
    <definedName name="SIGN" localSheetId="0">'Доходы '!$B$23:$E$25</definedName>
    <definedName name="SIGN" localSheetId="2">'Источники '!$B$25:$E$27</definedName>
    <definedName name="SRC_CODE" localSheetId="0">'Доходы '!$I$8</definedName>
    <definedName name="SRC_KIND" localSheetId="0">'Доходы '!$I$7</definedName>
    <definedName name="txt_fileName">#REF!</definedName>
    <definedName name="UnloadScript">#REF!</definedName>
    <definedName name="Дефициты_First">расходы!#REF!</definedName>
    <definedName name="Дефициты_First1">расходы!#REF!</definedName>
    <definedName name="Дефициты_Last">расходы!#REF!</definedName>
    <definedName name="Дефициты_Last1">расходы!#REF!</definedName>
    <definedName name="Доходы_Last">расходы!#REF!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расходы!#REF!</definedName>
    <definedName name="Расходы_Last">расходы!$Q$100</definedName>
  </definedNames>
  <calcPr calcId="124519"/>
</workbook>
</file>

<file path=xl/calcChain.xml><?xml version="1.0" encoding="utf-8"?>
<calcChain xmlns="http://schemas.openxmlformats.org/spreadsheetml/2006/main">
  <c r="G24" i="8"/>
  <c r="H24"/>
  <c r="O24" s="1"/>
  <c r="P24"/>
  <c r="G25"/>
  <c r="H25"/>
  <c r="O25" s="1"/>
  <c r="P25"/>
  <c r="G26"/>
  <c r="H26"/>
  <c r="O26" s="1"/>
  <c r="P26"/>
  <c r="G27"/>
  <c r="H27"/>
  <c r="O27" s="1"/>
  <c r="P27"/>
  <c r="H28"/>
  <c r="O28"/>
  <c r="P28"/>
  <c r="G29"/>
  <c r="H29" s="1"/>
  <c r="O29" s="1"/>
  <c r="F30"/>
  <c r="F45" s="1"/>
  <c r="G30"/>
  <c r="H30"/>
  <c r="O30" s="1"/>
  <c r="P30"/>
  <c r="F31"/>
  <c r="G31"/>
  <c r="H31" s="1"/>
  <c r="O31" s="1"/>
  <c r="G32"/>
  <c r="H32" s="1"/>
  <c r="O32" s="1"/>
  <c r="F33"/>
  <c r="G33"/>
  <c r="H33"/>
  <c r="O33" s="1"/>
  <c r="P33"/>
  <c r="G34"/>
  <c r="H34"/>
  <c r="O34" s="1"/>
  <c r="P34"/>
  <c r="F35"/>
  <c r="G35"/>
  <c r="H35" s="1"/>
  <c r="O35" s="1"/>
  <c r="F36"/>
  <c r="G36"/>
  <c r="H36"/>
  <c r="O36" s="1"/>
  <c r="P36"/>
  <c r="F37"/>
  <c r="G37"/>
  <c r="H37" s="1"/>
  <c r="O37" s="1"/>
  <c r="G38"/>
  <c r="H38" s="1"/>
  <c r="O38" s="1"/>
  <c r="G39"/>
  <c r="H39" s="1"/>
  <c r="O39" s="1"/>
  <c r="F40"/>
  <c r="G40"/>
  <c r="H40"/>
  <c r="O40" s="1"/>
  <c r="P40"/>
  <c r="H41"/>
  <c r="O41"/>
  <c r="P41"/>
  <c r="F42"/>
  <c r="P42" s="1"/>
  <c r="A43"/>
  <c r="H43"/>
  <c r="O43"/>
  <c r="P43"/>
  <c r="F44"/>
  <c r="G44"/>
  <c r="H44"/>
  <c r="O44" s="1"/>
  <c r="P44"/>
  <c r="G45"/>
  <c r="F46"/>
  <c r="F47" s="1"/>
  <c r="G46"/>
  <c r="H46"/>
  <c r="H47" s="1"/>
  <c r="O46"/>
  <c r="P46"/>
  <c r="P47" s="1"/>
  <c r="G47"/>
  <c r="O47"/>
  <c r="H48"/>
  <c r="O48" s="1"/>
  <c r="O49" s="1"/>
  <c r="P48"/>
  <c r="P49" s="1"/>
  <c r="F49"/>
  <c r="G49"/>
  <c r="O50"/>
  <c r="F51"/>
  <c r="O51"/>
  <c r="P51"/>
  <c r="A52"/>
  <c r="A54" s="1"/>
  <c r="A58" s="1"/>
  <c r="F52"/>
  <c r="G52"/>
  <c r="H52" s="1"/>
  <c r="A53"/>
  <c r="G53"/>
  <c r="H53"/>
  <c r="O53"/>
  <c r="P53"/>
  <c r="P54"/>
  <c r="A55"/>
  <c r="F55"/>
  <c r="F59" s="1"/>
  <c r="G55"/>
  <c r="H55"/>
  <c r="O55"/>
  <c r="P55"/>
  <c r="H56"/>
  <c r="O56"/>
  <c r="P56"/>
  <c r="H57"/>
  <c r="O57"/>
  <c r="P57"/>
  <c r="P58"/>
  <c r="G59"/>
  <c r="K59"/>
  <c r="N59"/>
  <c r="A60"/>
  <c r="G60"/>
  <c r="H60"/>
  <c r="O60" s="1"/>
  <c r="P60"/>
  <c r="A61"/>
  <c r="G61"/>
  <c r="H61" s="1"/>
  <c r="O61" s="1"/>
  <c r="H62"/>
  <c r="O62" s="1"/>
  <c r="P62"/>
  <c r="F63"/>
  <c r="G63"/>
  <c r="K63"/>
  <c r="N63"/>
  <c r="A64"/>
  <c r="H64"/>
  <c r="O64"/>
  <c r="O67" s="1"/>
  <c r="P64"/>
  <c r="O65"/>
  <c r="P65"/>
  <c r="A66"/>
  <c r="H66"/>
  <c r="O66"/>
  <c r="P66"/>
  <c r="F67"/>
  <c r="G67"/>
  <c r="H67"/>
  <c r="K67"/>
  <c r="N67"/>
  <c r="P67"/>
  <c r="A68"/>
  <c r="G68"/>
  <c r="H68" s="1"/>
  <c r="H69" s="1"/>
  <c r="O68"/>
  <c r="O69" s="1"/>
  <c r="F69"/>
  <c r="F70"/>
  <c r="H70"/>
  <c r="O70"/>
  <c r="P70"/>
  <c r="F71"/>
  <c r="H71"/>
  <c r="O71"/>
  <c r="P71"/>
  <c r="H72"/>
  <c r="O72"/>
  <c r="P72"/>
  <c r="F73"/>
  <c r="G73"/>
  <c r="H73"/>
  <c r="O73"/>
  <c r="P73"/>
  <c r="A74"/>
  <c r="H74"/>
  <c r="O74" s="1"/>
  <c r="P74"/>
  <c r="A75"/>
  <c r="H75"/>
  <c r="O75" s="1"/>
  <c r="P75"/>
  <c r="G76"/>
  <c r="H76"/>
  <c r="O76" s="1"/>
  <c r="P76"/>
  <c r="A77"/>
  <c r="G77"/>
  <c r="H77" s="1"/>
  <c r="A78"/>
  <c r="H78"/>
  <c r="O78"/>
  <c r="P78"/>
  <c r="A79"/>
  <c r="G79"/>
  <c r="H79"/>
  <c r="O79" s="1"/>
  <c r="P79"/>
  <c r="A80"/>
  <c r="H80"/>
  <c r="O80" s="1"/>
  <c r="P80"/>
  <c r="A81"/>
  <c r="F81"/>
  <c r="G81"/>
  <c r="H81"/>
  <c r="O81" s="1"/>
  <c r="P81"/>
  <c r="A82"/>
  <c r="F82"/>
  <c r="G82"/>
  <c r="H82"/>
  <c r="O82" s="1"/>
  <c r="P82"/>
  <c r="H83"/>
  <c r="O83"/>
  <c r="P83"/>
  <c r="A84"/>
  <c r="G84"/>
  <c r="H84"/>
  <c r="O84" s="1"/>
  <c r="P84"/>
  <c r="A85"/>
  <c r="F85"/>
  <c r="G85"/>
  <c r="H85"/>
  <c r="O85" s="1"/>
  <c r="P85"/>
  <c r="O86"/>
  <c r="F87"/>
  <c r="K87"/>
  <c r="N87"/>
  <c r="H88"/>
  <c r="O88"/>
  <c r="P88"/>
  <c r="A90"/>
  <c r="H90"/>
  <c r="O90"/>
  <c r="P90"/>
  <c r="F91"/>
  <c r="G91"/>
  <c r="H91"/>
  <c r="O91" s="1"/>
  <c r="P91"/>
  <c r="G92"/>
  <c r="H92"/>
  <c r="O92" s="1"/>
  <c r="O94" s="1"/>
  <c r="P92"/>
  <c r="P94" s="1"/>
  <c r="O93"/>
  <c r="P93"/>
  <c r="F94"/>
  <c r="G94"/>
  <c r="K94"/>
  <c r="N94"/>
  <c r="G95"/>
  <c r="H95" s="1"/>
  <c r="H96" s="1"/>
  <c r="O95"/>
  <c r="O96" s="1"/>
  <c r="F96"/>
  <c r="K96"/>
  <c r="N96"/>
  <c r="A97"/>
  <c r="H97"/>
  <c r="O97" s="1"/>
  <c r="O98" s="1"/>
  <c r="P97"/>
  <c r="P98" s="1"/>
  <c r="F98"/>
  <c r="G98"/>
  <c r="K98"/>
  <c r="N98"/>
  <c r="F25" i="3"/>
  <c r="F22"/>
  <c r="E22"/>
  <c r="F54" i="1"/>
  <c r="F53" s="1"/>
  <c r="F52"/>
  <c r="F33"/>
  <c r="F80"/>
  <c r="F89"/>
  <c r="F75"/>
  <c r="F74" s="1"/>
  <c r="F78"/>
  <c r="F40"/>
  <c r="G44"/>
  <c r="H59" i="8" l="1"/>
  <c r="O52"/>
  <c r="O59" s="1"/>
  <c r="F22"/>
  <c r="F99" s="1"/>
  <c r="O77"/>
  <c r="H87"/>
  <c r="O87" s="1"/>
  <c r="O63"/>
  <c r="O45"/>
  <c r="O22" s="1"/>
  <c r="H98"/>
  <c r="G96"/>
  <c r="P96" s="1"/>
  <c r="P95"/>
  <c r="H94"/>
  <c r="G87"/>
  <c r="P77"/>
  <c r="P87" s="1"/>
  <c r="G69"/>
  <c r="G22" s="1"/>
  <c r="G99" s="1"/>
  <c r="H99" s="1"/>
  <c r="O99" s="1"/>
  <c r="P68"/>
  <c r="P69" s="1"/>
  <c r="H63"/>
  <c r="P61"/>
  <c r="P63" s="1"/>
  <c r="P52"/>
  <c r="P59" s="1"/>
  <c r="H49"/>
  <c r="H45"/>
  <c r="H22" s="1"/>
  <c r="P39"/>
  <c r="P38"/>
  <c r="P37"/>
  <c r="P35"/>
  <c r="P32"/>
  <c r="P31"/>
  <c r="P29"/>
  <c r="P45" s="1"/>
  <c r="P22" s="1"/>
  <c r="F21" i="3"/>
  <c r="F20" s="1"/>
  <c r="F12" l="1"/>
  <c r="E83" i="1"/>
  <c r="E82" s="1"/>
  <c r="G85"/>
  <c r="G86"/>
  <c r="G87"/>
  <c r="G88"/>
  <c r="G90"/>
  <c r="G89"/>
  <c r="E77"/>
  <c r="E75"/>
  <c r="F65" l="1"/>
  <c r="G66"/>
  <c r="G58"/>
  <c r="E65"/>
  <c r="E64" s="1"/>
  <c r="E63" s="1"/>
  <c r="E50"/>
  <c r="E45" s="1"/>
  <c r="E21" s="1"/>
  <c r="E47"/>
  <c r="G65" l="1"/>
  <c r="F64"/>
  <c r="F24"/>
  <c r="F23" s="1"/>
  <c r="G31"/>
  <c r="G64" l="1"/>
  <c r="F63"/>
  <c r="G63" s="1"/>
  <c r="F83"/>
  <c r="F82" s="1"/>
  <c r="F61"/>
  <c r="F60" s="1"/>
  <c r="F59" s="1"/>
  <c r="F47"/>
  <c r="F46" s="1"/>
  <c r="F39"/>
  <c r="F38" s="1"/>
  <c r="F22"/>
  <c r="F77" l="1"/>
  <c r="F73" s="1"/>
  <c r="F72" s="1"/>
  <c r="G71" l="1"/>
  <c r="G32" l="1"/>
  <c r="G43" l="1"/>
  <c r="G35"/>
  <c r="E81" l="1"/>
  <c r="E56" l="1"/>
  <c r="E52"/>
  <c r="G27"/>
  <c r="E23"/>
  <c r="E24" s="1"/>
  <c r="E26" i="3" l="1"/>
  <c r="E27" s="1"/>
  <c r="E57" i="1"/>
  <c r="E16" i="3"/>
  <c r="E17" s="1"/>
  <c r="G30" i="1"/>
  <c r="E54"/>
  <c r="E39"/>
  <c r="G84"/>
  <c r="G77"/>
  <c r="G78"/>
  <c r="G79"/>
  <c r="G80"/>
  <c r="G81"/>
  <c r="G83"/>
  <c r="G82" s="1"/>
  <c r="G62"/>
  <c r="G67"/>
  <c r="G68"/>
  <c r="G69"/>
  <c r="G70"/>
  <c r="G53"/>
  <c r="G59"/>
  <c r="G60"/>
  <c r="G61"/>
  <c r="G38"/>
  <c r="G41"/>
  <c r="G42"/>
  <c r="G46"/>
  <c r="G48"/>
  <c r="G49"/>
  <c r="G29"/>
  <c r="G33"/>
  <c r="G34"/>
  <c r="G36"/>
  <c r="G37"/>
  <c r="G28"/>
  <c r="G26"/>
  <c r="G25"/>
  <c r="G22"/>
  <c r="E40" l="1"/>
  <c r="G47"/>
  <c r="G39"/>
  <c r="G54"/>
  <c r="G23"/>
  <c r="F26" i="3" l="1"/>
  <c r="F27" s="1"/>
  <c r="G40" i="1"/>
  <c r="G24"/>
  <c r="G52" l="1"/>
  <c r="F51"/>
  <c r="G51" s="1"/>
  <c r="F50" l="1"/>
  <c r="F45" l="1"/>
  <c r="G50"/>
  <c r="F57"/>
  <c r="G45" l="1"/>
  <c r="G57"/>
  <c r="F56"/>
  <c r="F55" s="1"/>
  <c r="F21" l="1"/>
  <c r="F19" s="1"/>
  <c r="G56"/>
  <c r="G55" l="1"/>
  <c r="G21" l="1"/>
  <c r="G76" l="1"/>
  <c r="F23" i="3" l="1"/>
  <c r="F24" s="1"/>
  <c r="G75" i="1" l="1"/>
  <c r="E74"/>
  <c r="E72" l="1"/>
  <c r="E73" s="1"/>
  <c r="E19" s="1"/>
  <c r="E12" i="3" s="1"/>
  <c r="G74" i="1"/>
  <c r="E20" i="3" l="1"/>
  <c r="E21"/>
  <c r="G72" i="1"/>
  <c r="G73" l="1"/>
  <c r="G19"/>
  <c r="E23" i="3" l="1"/>
  <c r="E24" s="1"/>
</calcChain>
</file>

<file path=xl/sharedStrings.xml><?xml version="1.0" encoding="utf-8"?>
<sst xmlns="http://schemas.openxmlformats.org/spreadsheetml/2006/main" count="630" uniqueCount="371">
  <si>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</si>
  <si>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</si>
  <si>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</si>
  <si>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</si>
  <si>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</si>
  <si>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</si>
  <si>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</si>
  <si>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</si>
  <si>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</si>
  <si>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</si>
  <si>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</si>
  <si>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</si>
  <si>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02.12.2017</t>
  </si>
  <si>
    <t>Администрация Калиновского сельского поселения</t>
  </si>
  <si>
    <t>Периодичность: годовая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</si>
  <si>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</si>
  <si>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</si>
  <si>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</si>
  <si>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</si>
  <si>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</si>
  <si>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</si>
  <si>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</si>
  <si>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</si>
  <si>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</si>
  <si>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</si>
  <si>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</si>
  <si>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</si>
  <si>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</si>
  <si>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</si>
  <si>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</si>
  <si>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</si>
  <si>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</si>
  <si>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</si>
  <si>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</si>
  <si>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</si>
  <si>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</si>
  <si>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</si>
  <si>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</si>
  <si>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</si>
  <si>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</si>
  <si>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</si>
  <si>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</si>
  <si>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</si>
  <si>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</si>
  <si>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</si>
  <si>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</si>
  <si>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</si>
  <si>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</si>
  <si>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</si>
  <si>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</si>
  <si>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</si>
  <si>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</si>
  <si>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</si>
  <si>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</si>
  <si>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</si>
  <si>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</si>
  <si>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</si>
  <si>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</si>
  <si>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</si>
  <si>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</si>
  <si>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</si>
  <si>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</si>
  <si>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</si>
  <si>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</si>
  <si>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</si>
  <si>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</si>
  <si>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</si>
  <si>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</si>
  <si>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</si>
  <si>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</si>
  <si>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</si>
  <si>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</si>
  <si>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</si>
  <si>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</si>
  <si>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</si>
  <si>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</si>
  <si>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</si>
  <si>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</si>
  <si>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</si>
  <si>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</si>
  <si>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</si>
  <si>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</si>
  <si>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</si>
  <si>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</si>
  <si>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</si>
  <si>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</si>
  <si>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</si>
  <si>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</si>
  <si>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</si>
  <si>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</si>
  <si>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</si>
  <si>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</si>
  <si>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</si>
  <si>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</si>
  <si>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</si>
  <si>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</si>
  <si>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ОКАЗАНИЯ ПЛАТНЫХ УСЛУГ (РАБОТ) И КОМПЕНСАЦИИ ЗАТРАТ ГОСУДАРСТВА</t>
  </si>
  <si>
    <t>000 11300000000000000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</si>
  <si>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</si>
  <si>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</si>
  <si>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</si>
  <si>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</si>
  <si>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</si>
  <si>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</si>
  <si>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</si>
  <si>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</si>
  <si>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</si>
  <si>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</si>
  <si>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</si>
  <si>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</si>
  <si>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802 11651040020000140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</si>
  <si>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</si>
  <si>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</si>
  <si>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</si>
  <si>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</si>
  <si>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</si>
  <si>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</si>
  <si>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</si>
  <si>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</si>
  <si>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</si>
  <si>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</si>
  <si>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</si>
  <si>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</si>
  <si>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</si>
  <si>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</si>
  <si>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</si>
  <si>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</si>
  <si>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</si>
  <si>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</si>
  <si>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951 21800000000000151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</si>
  <si>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</si>
  <si>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951 21800000100000151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</si>
  <si>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</si>
  <si>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951 21860010100000151</t>
  </si>
  <si>
    <t>Расходы бюджета - всего</t>
  </si>
  <si>
    <t>200</t>
  </si>
  <si>
    <t>x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</si>
  <si>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</si>
  <si>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</si>
  <si>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</si>
  <si>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</si>
  <si>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</si>
  <si>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</si>
  <si>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</si>
  <si>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</si>
  <si>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</si>
  <si>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</si>
  <si>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</si>
  <si>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</si>
  <si>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</si>
  <si>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</si>
  <si>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</si>
  <si>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</si>
  <si>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</si>
  <si>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</si>
  <si>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</si>
  <si>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</si>
  <si>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</si>
  <si>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</si>
  <si>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</si>
  <si>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</si>
  <si>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</si>
  <si>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</si>
  <si>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</si>
  <si>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</si>
  <si>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</si>
  <si>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</si>
  <si>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</si>
  <si>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</si>
  <si>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</si>
  <si>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</si>
  <si>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</si>
  <si>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</si>
  <si>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</si>
  <si>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</si>
  <si>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</si>
  <si>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</si>
  <si>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</si>
  <si>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</si>
  <si>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</si>
  <si>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</si>
  <si>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</si>
  <si>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C:\Documents and Settings\Admin\Рабочий стол\117Y01.txt</t>
  </si>
  <si>
    <t>Доходы/EXPORT_SRC_CODE</t>
  </si>
  <si>
    <t>058001-07</t>
  </si>
  <si>
    <t>Доходы/PERIOD</t>
  </si>
  <si>
    <t xml:space="preserve">Налог на доходы физических лиц </t>
  </si>
  <si>
    <t>Наименование бюджета</t>
  </si>
  <si>
    <t>951 01050201000000610</t>
  </si>
  <si>
    <t>182 10503010013000110</t>
  </si>
  <si>
    <t>Коммунальные услуги</t>
  </si>
  <si>
    <t>Работы, услуги по содержанию имущества</t>
  </si>
  <si>
    <t>Прочие работы, услуги</t>
  </si>
  <si>
    <t>Контрольно-счетная инспекция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</si>
  <si>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</si>
  <si>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Калиновского сельского поселения Азовского района</t>
  </si>
  <si>
    <t>Невыясненые поступления</t>
  </si>
  <si>
    <t>951 11701050100000180</t>
  </si>
  <si>
    <t>182 10102030014000110</t>
  </si>
  <si>
    <t>182 10102010014000110</t>
  </si>
  <si>
    <t>внутренний мун. контроль</t>
  </si>
  <si>
    <t>Налоги, пошлины и сборы</t>
  </si>
  <si>
    <t>Иные выплаты текущего характера организациям</t>
  </si>
  <si>
    <t>951 20210000000000150</t>
  </si>
  <si>
    <t>951 20230024000000150</t>
  </si>
  <si>
    <t>951 20230024100000150</t>
  </si>
  <si>
    <t>951 20235118000000150</t>
  </si>
  <si>
    <t>951 20235118100000150</t>
  </si>
  <si>
    <t>951 20240000000000150</t>
  </si>
  <si>
    <t>951 20240014000000150</t>
  </si>
  <si>
    <t>951 20240014100000150</t>
  </si>
  <si>
    <t>951 20230000000000150</t>
  </si>
  <si>
    <t>951 11400000000000000</t>
  </si>
  <si>
    <t>951 11402000000000000</t>
  </si>
  <si>
    <t>951 11402050100000410</t>
  </si>
  <si>
    <t>951 11402053100000410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</si>
  <si>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</si>
  <si>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</t>
  </si>
  <si>
    <t>Доходы от реализации иного имущества, находящегося в собственности сельских поселений</t>
  </si>
  <si>
    <t>951 20216001000000150</t>
  </si>
  <si>
    <t>Прочие межбюджетные трансферты, передаваемые бюджетам</t>
  </si>
  <si>
    <t>951 20249999000000150</t>
  </si>
  <si>
    <t>951 20249999100000150</t>
  </si>
  <si>
    <t>Заведующий сектором экономики и финансов</t>
  </si>
  <si>
    <t>К.Н. Косых</t>
  </si>
  <si>
    <t>951 20216001100000150</t>
  </si>
  <si>
    <t>951 0104 1310000110 121</t>
  </si>
  <si>
    <t>951 0104 1310000110 129</t>
  </si>
  <si>
    <t>951 0104 1310000110 122</t>
  </si>
  <si>
    <t>951 0104 1310000190 244</t>
  </si>
  <si>
    <t>951 0104 1310000210 244</t>
  </si>
  <si>
    <t>951 0104 9990072390 244</t>
  </si>
  <si>
    <t>951 0111 9910090120 870</t>
  </si>
  <si>
    <t>951 0113 9990028580 244</t>
  </si>
  <si>
    <t>951 0412 9990028580 245</t>
  </si>
  <si>
    <t>951 0113 9990028990 853</t>
  </si>
  <si>
    <t>951 0113 9990085010 540</t>
  </si>
  <si>
    <t>951 0113 9990085040 540</t>
  </si>
  <si>
    <t>951 0113 1410028260 244</t>
  </si>
  <si>
    <t>951 0203 9990051180 121</t>
  </si>
  <si>
    <t>951 0203 9990051180 129</t>
  </si>
  <si>
    <t>951 0203 9990051180 244</t>
  </si>
  <si>
    <t>951 0409 0410028380 244</t>
  </si>
  <si>
    <t>951 0503 0320028800 244</t>
  </si>
  <si>
    <t>951 0503 0710028610 244</t>
  </si>
  <si>
    <t>951 0503 0710028460 244</t>
  </si>
  <si>
    <t>951 0503 0810028490 244</t>
  </si>
  <si>
    <t>951 0503 0810028500 244</t>
  </si>
  <si>
    <t>951 0503 0910028520 244</t>
  </si>
  <si>
    <t>951 0503 0910028530 244</t>
  </si>
  <si>
    <t>951 0705 0110028540 244</t>
  </si>
  <si>
    <t>951 1001 1510028250 312</t>
  </si>
  <si>
    <t>951 1101 1110028360 244</t>
  </si>
  <si>
    <t>951 0107 9190020700 880</t>
  </si>
  <si>
    <t>951 0503 0610028430 244</t>
  </si>
  <si>
    <t>951 0503 0710028610 247</t>
  </si>
  <si>
    <t>951 0104 1310000190 247</t>
  </si>
  <si>
    <t>011</t>
  </si>
  <si>
    <t>183 10503020011000110</t>
  </si>
  <si>
    <t>951 0104 9990085010 540</t>
  </si>
  <si>
    <t>951 0106 9990085040 540</t>
  </si>
  <si>
    <t>951 0310 0210028310 244</t>
  </si>
  <si>
    <t>951 0502 9990028580 244</t>
  </si>
  <si>
    <t>951 0801 1010028550 612</t>
  </si>
  <si>
    <t>Главный бухгалтер</t>
  </si>
  <si>
    <t>И.Ю. Павлова</t>
  </si>
  <si>
    <t>951 0310 02100S1260 244</t>
  </si>
  <si>
    <t xml:space="preserve">Глава администрации Калиновского сельского поселения </t>
  </si>
  <si>
    <t>С.А. Морозова</t>
  </si>
  <si>
    <t>на 01.11.2021 г.</t>
  </si>
  <si>
    <t xml:space="preserve">                                (подпись)            (расшифровка)</t>
  </si>
  <si>
    <t>Главный бухгалтер ___________  ___Павлова И.Ю.__</t>
  </si>
  <si>
    <t xml:space="preserve">                          (подпись)   (расшифровка)                                                               (подпись)        (расшифровка)</t>
  </si>
  <si>
    <t>Руководитель ___________ _Морозова С.А._                  Экономическая служба ___________ ___Косых К.Н._</t>
  </si>
  <si>
    <t>Результат исполнения бюджета (дефицит "--", профицит "+")</t>
  </si>
  <si>
    <t>ИТОГО ПО 1101</t>
  </si>
  <si>
    <t>100</t>
  </si>
  <si>
    <t>346</t>
  </si>
  <si>
    <t>ИТОГО ПО 1001</t>
  </si>
  <si>
    <t>264</t>
  </si>
  <si>
    <t>Пенсии, пособия</t>
  </si>
  <si>
    <t>ИТОГО ПО 0801</t>
  </si>
  <si>
    <t>123</t>
  </si>
  <si>
    <t>241</t>
  </si>
  <si>
    <t>Безвозмездные перечисления гос. и мун. организациям "МБУК СДК"</t>
  </si>
  <si>
    <t>951 0801 1010028590 611</t>
  </si>
  <si>
    <t>ИТОГО ПО 0705</t>
  </si>
  <si>
    <t>226</t>
  </si>
  <si>
    <t>ИТОГО ПО 0503</t>
  </si>
  <si>
    <t>225</t>
  </si>
  <si>
    <t>951 0503 0910028210 244</t>
  </si>
  <si>
    <t>223</t>
  </si>
  <si>
    <t>ИТОГО ПО 0502</t>
  </si>
  <si>
    <t>ИТОГО ПО 0412</t>
  </si>
  <si>
    <t>ИТОГО ПО 0409</t>
  </si>
  <si>
    <t>130</t>
  </si>
  <si>
    <t>ИТОГО ПО 0310</t>
  </si>
  <si>
    <t>325</t>
  </si>
  <si>
    <t>310</t>
  </si>
  <si>
    <t>ИТОГО ПО 0203</t>
  </si>
  <si>
    <t>115</t>
  </si>
  <si>
    <t>Увеличение стоимости прочих оборотных запасов (материалов)</t>
  </si>
  <si>
    <t>213</t>
  </si>
  <si>
    <t>211</t>
  </si>
  <si>
    <t>ИТОГО ПО 0113</t>
  </si>
  <si>
    <t>251</t>
  </si>
  <si>
    <t>297</t>
  </si>
  <si>
    <t>291</t>
  </si>
  <si>
    <t>951 0113 9990028600 851</t>
  </si>
  <si>
    <t>951 0113 9990028990 244</t>
  </si>
  <si>
    <t>ИТОГО ПО 0111</t>
  </si>
  <si>
    <t>296</t>
  </si>
  <si>
    <t>ИТОГО ПО 0107</t>
  </si>
  <si>
    <t>516300,00</t>
  </si>
  <si>
    <t>Прочие расходы</t>
  </si>
  <si>
    <t>ИТОГО ПО 0106</t>
  </si>
  <si>
    <t xml:space="preserve">ИТОГО ПО АППАРАТУ </t>
  </si>
  <si>
    <t>Внутренний мун. контроль</t>
  </si>
  <si>
    <t>308</t>
  </si>
  <si>
    <t>Увеличение стоимости основных средств</t>
  </si>
  <si>
    <t>Медецинский осмотр</t>
  </si>
  <si>
    <t xml:space="preserve">951 0104 1310000190 852 </t>
  </si>
  <si>
    <t>343</t>
  </si>
  <si>
    <t>Увеличение стоимости горюче-смазочных материалов</t>
  </si>
  <si>
    <t>221</t>
  </si>
  <si>
    <t>Услуги связи</t>
  </si>
  <si>
    <t>Начисления на выплаты по оплате труда</t>
  </si>
  <si>
    <t>212</t>
  </si>
  <si>
    <t>Прочие выплаты</t>
  </si>
  <si>
    <t>i5_90401061220000110000</t>
  </si>
  <si>
    <t>Заработная плата</t>
  </si>
  <si>
    <t>i2_90401000000000000000</t>
  </si>
  <si>
    <t>i1_90400000000000000000</t>
  </si>
  <si>
    <t>х</t>
  </si>
  <si>
    <t>13</t>
  </si>
  <si>
    <t>12</t>
  </si>
  <si>
    <t>11</t>
  </si>
  <si>
    <t>10</t>
  </si>
  <si>
    <t>9</t>
  </si>
  <si>
    <t>8</t>
  </si>
  <si>
    <t>7</t>
  </si>
  <si>
    <t>ки</t>
  </si>
  <si>
    <t>по лимитам бюджетных обязательств</t>
  </si>
  <si>
    <t>по ассиг-
нованиям</t>
  </si>
  <si>
    <t>итого</t>
  </si>
  <si>
    <t>некассо-
вые операции</t>
  </si>
  <si>
    <t>через банковские счета</t>
  </si>
  <si>
    <t>через финансовые органы</t>
  </si>
  <si>
    <t>стро-</t>
  </si>
  <si>
    <t>Код</t>
  </si>
  <si>
    <t xml:space="preserve">         Исполнено</t>
  </si>
  <si>
    <t>Лимиты бюджетных обязательств</t>
  </si>
  <si>
    <t>Дополнительный функциональный код</t>
  </si>
  <si>
    <t>Код КОСГУ</t>
  </si>
  <si>
    <t xml:space="preserve">Код расхода по бюджетной классификации
</t>
  </si>
  <si>
    <t>6140014935</t>
  </si>
  <si>
    <t>по ОКЕИ</t>
  </si>
  <si>
    <t xml:space="preserve">Единица измерения:  руб </t>
  </si>
  <si>
    <t>Периодичность:     месячная</t>
  </si>
  <si>
    <t>Бюджет Калиновского сельского поселения</t>
  </si>
  <si>
    <t>Глава по БК</t>
  </si>
  <si>
    <t>финансирования дефицита бюджета</t>
  </si>
  <si>
    <t>01.08.2018</t>
  </si>
  <si>
    <t>по ОКПО</t>
  </si>
  <si>
    <t xml:space="preserve">Администрация Калиновского сельского поселения 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</si>
  <si>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</si>
  <si>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Дата</t>
  </si>
  <si>
    <t>за октябрь</t>
  </si>
  <si>
    <t>Козлов Артем Сергеевич</t>
  </si>
  <si>
    <t xml:space="preserve">                  Информация об исполнении  расходной части  бюджета Калиновского сельского поселения</t>
  </si>
  <si>
    <t>Приложение к Приказу Райфинуправления от 09.08.2018 №_____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</si>
</sst>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;\ \-\ #,##0.00;\ \-"/>
  </numFmts>
  <fonts count="3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7.25"/>
      <name val="Arial Cyr"/>
    </font>
    <font>
      <sz val="10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sz val="9"/>
      <color rgb="FFFF000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4">
    <xf numFmtId="0" fontId="0" fillId="0" borderId="0"/>
    <xf numFmtId="0" fontId="9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10" borderId="43" applyNumberFormat="0" applyAlignment="0" applyProtection="0"/>
    <xf numFmtId="0" fontId="17" fillId="23" borderId="44" applyNumberFormat="0" applyAlignment="0" applyProtection="0"/>
    <xf numFmtId="0" fontId="18" fillId="23" borderId="43" applyNumberFormat="0" applyAlignment="0" applyProtection="0"/>
    <xf numFmtId="0" fontId="19" fillId="0" borderId="45" applyNumberFormat="0" applyFill="0" applyAlignment="0" applyProtection="0"/>
    <xf numFmtId="0" fontId="20" fillId="0" borderId="46" applyNumberFormat="0" applyFill="0" applyAlignment="0" applyProtection="0"/>
    <xf numFmtId="0" fontId="21" fillId="0" borderId="4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48" applyNumberFormat="0" applyFill="0" applyAlignment="0" applyProtection="0"/>
    <xf numFmtId="0" fontId="23" fillId="24" borderId="49" applyNumberFormat="0" applyAlignment="0" applyProtection="0"/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9" fillId="0" borderId="0"/>
    <xf numFmtId="0" fontId="26" fillId="6" borderId="0" applyNumberFormat="0" applyBorder="0" applyAlignment="0" applyProtection="0"/>
    <xf numFmtId="0" fontId="27" fillId="0" borderId="0" applyNumberFormat="0" applyFill="0" applyBorder="0" applyAlignment="0" applyProtection="0"/>
    <xf numFmtId="0" fontId="9" fillId="26" borderId="50" applyNumberFormat="0" applyFont="0" applyAlignment="0" applyProtection="0"/>
    <xf numFmtId="0" fontId="28" fillId="0" borderId="51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</cellStyleXfs>
  <cellXfs count="24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39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0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9" fontId="2" fillId="0" borderId="24" xfId="0" applyNumberFormat="1" applyFont="1" applyBorder="1" applyAlignment="1" applyProtection="1">
      <alignment horizontal="center" vertical="center" wrapText="1"/>
    </xf>
    <xf numFmtId="0" fontId="7" fillId="0" borderId="0" xfId="0" applyFont="1"/>
    <xf numFmtId="0" fontId="0" fillId="0" borderId="5" xfId="0" applyBorder="1"/>
    <xf numFmtId="4" fontId="6" fillId="2" borderId="24" xfId="0" applyNumberFormat="1" applyFont="1" applyFill="1" applyBorder="1" applyAlignment="1" applyProtection="1">
      <alignment horizontal="right"/>
    </xf>
    <xf numFmtId="4" fontId="2" fillId="2" borderId="15" xfId="0" applyNumberFormat="1" applyFont="1" applyFill="1" applyBorder="1" applyAlignment="1" applyProtection="1">
      <alignment horizontal="right"/>
    </xf>
    <xf numFmtId="49" fontId="8" fillId="0" borderId="31" xfId="0" applyNumberFormat="1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9" fillId="0" borderId="0" xfId="1" applyProtection="1"/>
    <xf numFmtId="49" fontId="9" fillId="0" borderId="0" xfId="1" applyNumberFormat="1" applyAlignment="1" applyProtection="1">
      <alignment horizontal="center" wrapText="1"/>
    </xf>
    <xf numFmtId="0" fontId="9" fillId="0" borderId="0" xfId="1" applyFill="1" applyProtection="1"/>
    <xf numFmtId="49" fontId="9" fillId="0" borderId="0" xfId="1" applyNumberFormat="1" applyProtection="1"/>
    <xf numFmtId="49" fontId="9" fillId="0" borderId="0" xfId="1" applyNumberFormat="1" applyFill="1" applyProtection="1"/>
    <xf numFmtId="0" fontId="9" fillId="0" borderId="0" xfId="1" applyAlignment="1" applyProtection="1">
      <alignment horizontal="left"/>
    </xf>
    <xf numFmtId="2" fontId="9" fillId="0" borderId="0" xfId="1" applyNumberFormat="1" applyProtection="1"/>
    <xf numFmtId="2" fontId="9" fillId="0" borderId="0" xfId="1" applyNumberFormat="1" applyFill="1" applyProtection="1"/>
    <xf numFmtId="0" fontId="9" fillId="0" borderId="0" xfId="1" applyAlignment="1" applyProtection="1">
      <alignment horizontal="center"/>
    </xf>
    <xf numFmtId="0" fontId="10" fillId="0" borderId="0" xfId="1" applyFont="1" applyProtection="1"/>
    <xf numFmtId="49" fontId="10" fillId="0" borderId="0" xfId="1" applyNumberFormat="1" applyFont="1" applyProtection="1"/>
    <xf numFmtId="49" fontId="10" fillId="0" borderId="0" xfId="1" applyNumberFormat="1" applyFont="1" applyFill="1" applyProtection="1"/>
    <xf numFmtId="2" fontId="10" fillId="0" borderId="0" xfId="1" applyNumberFormat="1" applyFont="1" applyProtection="1"/>
    <xf numFmtId="0" fontId="10" fillId="0" borderId="0" xfId="1" applyFont="1" applyAlignment="1" applyProtection="1">
      <alignment horizontal="left"/>
    </xf>
    <xf numFmtId="0" fontId="10" fillId="0" borderId="0" xfId="1" applyFont="1" applyBorder="1" applyProtection="1"/>
    <xf numFmtId="0" fontId="10" fillId="0" borderId="0" xfId="1" applyFont="1" applyAlignment="1" applyProtection="1">
      <alignment horizontal="left"/>
    </xf>
    <xf numFmtId="0" fontId="9" fillId="0" borderId="0" xfId="1" applyAlignment="1" applyProtection="1"/>
    <xf numFmtId="49" fontId="9" fillId="3" borderId="0" xfId="1" applyNumberFormat="1" applyFill="1" applyAlignment="1" applyProtection="1">
      <alignment horizontal="center" wrapText="1"/>
    </xf>
    <xf numFmtId="166" fontId="6" fillId="0" borderId="0" xfId="1" applyNumberFormat="1" applyFont="1" applyFill="1" applyBorder="1" applyAlignment="1" applyProtection="1">
      <alignment horizontal="right"/>
    </xf>
    <xf numFmtId="166" fontId="10" fillId="2" borderId="24" xfId="1" applyNumberFormat="1" applyFont="1" applyFill="1" applyBorder="1" applyAlignment="1" applyProtection="1">
      <alignment horizontal="right"/>
    </xf>
    <xf numFmtId="166" fontId="10" fillId="2" borderId="24" xfId="1" applyNumberFormat="1" applyFont="1" applyFill="1" applyBorder="1" applyAlignment="1" applyProtection="1">
      <alignment horizontal="center"/>
    </xf>
    <xf numFmtId="2" fontId="10" fillId="2" borderId="24" xfId="1" applyNumberFormat="1" applyFont="1" applyFill="1" applyBorder="1" applyAlignment="1" applyProtection="1">
      <alignment horizontal="right"/>
    </xf>
    <xf numFmtId="2" fontId="10" fillId="2" borderId="23" xfId="1" applyNumberFormat="1" applyFont="1" applyFill="1" applyBorder="1" applyAlignment="1" applyProtection="1">
      <alignment horizontal="right"/>
    </xf>
    <xf numFmtId="2" fontId="10" fillId="2" borderId="25" xfId="1" applyNumberFormat="1" applyFont="1" applyFill="1" applyBorder="1" applyAlignment="1" applyProtection="1">
      <alignment horizontal="right"/>
    </xf>
    <xf numFmtId="2" fontId="10" fillId="2" borderId="6" xfId="1" applyNumberFormat="1" applyFont="1" applyFill="1" applyBorder="1" applyAlignment="1" applyProtection="1">
      <alignment horizontal="right"/>
    </xf>
    <xf numFmtId="49" fontId="10" fillId="2" borderId="24" xfId="1" applyNumberFormat="1" applyFont="1" applyFill="1" applyBorder="1" applyAlignment="1" applyProtection="1">
      <alignment horizontal="center" wrapText="1"/>
    </xf>
    <xf numFmtId="49" fontId="10" fillId="2" borderId="23" xfId="1" applyNumberFormat="1" applyFont="1" applyFill="1" applyBorder="1" applyAlignment="1" applyProtection="1">
      <alignment horizontal="center" wrapText="1"/>
    </xf>
    <xf numFmtId="0" fontId="10" fillId="2" borderId="24" xfId="1" applyNumberFormat="1" applyFont="1" applyFill="1" applyBorder="1" applyAlignment="1" applyProtection="1">
      <alignment horizontal="left" wrapText="1"/>
    </xf>
    <xf numFmtId="0" fontId="11" fillId="0" borderId="0" xfId="1" applyFont="1" applyAlignment="1" applyProtection="1"/>
    <xf numFmtId="49" fontId="11" fillId="3" borderId="0" xfId="1" applyNumberFormat="1" applyFont="1" applyFill="1" applyAlignment="1" applyProtection="1">
      <alignment horizontal="center" wrapText="1"/>
    </xf>
    <xf numFmtId="166" fontId="5" fillId="0" borderId="0" xfId="1" applyNumberFormat="1" applyFont="1" applyFill="1" applyBorder="1" applyAlignment="1" applyProtection="1">
      <alignment horizontal="right"/>
    </xf>
    <xf numFmtId="166" fontId="12" fillId="2" borderId="24" xfId="1" applyNumberFormat="1" applyFont="1" applyFill="1" applyBorder="1" applyAlignment="1" applyProtection="1">
      <alignment horizontal="right"/>
    </xf>
    <xf numFmtId="166" fontId="12" fillId="2" borderId="24" xfId="1" applyNumberFormat="1" applyFont="1" applyFill="1" applyBorder="1" applyAlignment="1" applyProtection="1">
      <alignment horizontal="center"/>
    </xf>
    <xf numFmtId="2" fontId="12" fillId="2" borderId="24" xfId="1" applyNumberFormat="1" applyFont="1" applyFill="1" applyBorder="1" applyAlignment="1" applyProtection="1">
      <alignment horizontal="right"/>
    </xf>
    <xf numFmtId="2" fontId="12" fillId="2" borderId="23" xfId="1" applyNumberFormat="1" applyFont="1" applyFill="1" applyBorder="1" applyAlignment="1" applyProtection="1">
      <alignment horizontal="right"/>
    </xf>
    <xf numFmtId="2" fontId="12" fillId="2" borderId="25" xfId="1" applyNumberFormat="1" applyFont="1" applyFill="1" applyBorder="1" applyAlignment="1" applyProtection="1">
      <alignment horizontal="right"/>
    </xf>
    <xf numFmtId="2" fontId="12" fillId="2" borderId="23" xfId="1" applyNumberFormat="1" applyFont="1" applyFill="1" applyBorder="1" applyAlignment="1" applyProtection="1">
      <alignment horizontal="right"/>
    </xf>
    <xf numFmtId="49" fontId="12" fillId="2" borderId="24" xfId="1" applyNumberFormat="1" applyFont="1" applyFill="1" applyBorder="1" applyAlignment="1" applyProtection="1">
      <alignment horizontal="center" wrapText="1"/>
    </xf>
    <xf numFmtId="49" fontId="12" fillId="2" borderId="23" xfId="1" applyNumberFormat="1" applyFont="1" applyFill="1" applyBorder="1" applyAlignment="1" applyProtection="1">
      <alignment horizontal="center" wrapText="1"/>
    </xf>
    <xf numFmtId="0" fontId="12" fillId="2" borderId="24" xfId="1" applyNumberFormat="1" applyFont="1" applyFill="1" applyBorder="1" applyAlignment="1" applyProtection="1">
      <alignment horizontal="left" wrapText="1"/>
    </xf>
    <xf numFmtId="0" fontId="9" fillId="0" borderId="0" xfId="1" applyFont="1" applyAlignment="1" applyProtection="1"/>
    <xf numFmtId="49" fontId="9" fillId="3" borderId="0" xfId="1" applyNumberFormat="1" applyFont="1" applyFill="1" applyAlignment="1" applyProtection="1">
      <alignment horizontal="center" wrapText="1"/>
    </xf>
    <xf numFmtId="49" fontId="13" fillId="4" borderId="24" xfId="1" applyNumberFormat="1" applyFont="1" applyFill="1" applyBorder="1" applyAlignment="1" applyProtection="1">
      <alignment horizontal="center" wrapText="1"/>
    </xf>
    <xf numFmtId="2" fontId="12" fillId="2" borderId="25" xfId="1" applyNumberFormat="1" applyFont="1" applyFill="1" applyBorder="1" applyAlignment="1" applyProtection="1">
      <alignment horizontal="right"/>
    </xf>
    <xf numFmtId="2" fontId="12" fillId="2" borderId="6" xfId="1" applyNumberFormat="1" applyFont="1" applyFill="1" applyBorder="1" applyAlignment="1" applyProtection="1">
      <alignment horizontal="right"/>
    </xf>
    <xf numFmtId="49" fontId="13" fillId="2" borderId="24" xfId="1" applyNumberFormat="1" applyFont="1" applyFill="1" applyBorder="1" applyAlignment="1" applyProtection="1">
      <alignment horizontal="center" wrapText="1"/>
    </xf>
    <xf numFmtId="2" fontId="10" fillId="2" borderId="6" xfId="1" applyNumberFormat="1" applyFont="1" applyFill="1" applyBorder="1" applyAlignment="1" applyProtection="1">
      <alignment horizontal="center"/>
    </xf>
    <xf numFmtId="2" fontId="10" fillId="2" borderId="23" xfId="1" applyNumberFormat="1" applyFont="1" applyFill="1" applyBorder="1" applyAlignment="1" applyProtection="1">
      <alignment horizontal="center"/>
    </xf>
    <xf numFmtId="0" fontId="9" fillId="2" borderId="0" xfId="1" applyFill="1" applyAlignment="1" applyProtection="1"/>
    <xf numFmtId="49" fontId="9" fillId="2" borderId="0" xfId="1" applyNumberFormat="1" applyFill="1" applyAlignment="1" applyProtection="1">
      <alignment horizontal="center" wrapText="1"/>
    </xf>
    <xf numFmtId="166" fontId="6" fillId="2" borderId="0" xfId="1" applyNumberFormat="1" applyFont="1" applyFill="1" applyBorder="1" applyAlignment="1" applyProtection="1">
      <alignment horizontal="right"/>
    </xf>
    <xf numFmtId="166" fontId="12" fillId="2" borderId="24" xfId="1" applyNumberFormat="1" applyFont="1" applyFill="1" applyBorder="1" applyAlignment="1" applyProtection="1">
      <alignment horizontal="left"/>
    </xf>
    <xf numFmtId="49" fontId="12" fillId="2" borderId="24" xfId="1" applyNumberFormat="1" applyFont="1" applyFill="1" applyBorder="1" applyAlignment="1" applyProtection="1">
      <alignment horizontal="left" wrapText="1"/>
    </xf>
    <xf numFmtId="49" fontId="12" fillId="2" borderId="23" xfId="1" applyNumberFormat="1" applyFont="1" applyFill="1" applyBorder="1" applyAlignment="1" applyProtection="1">
      <alignment horizontal="left" wrapText="1"/>
    </xf>
    <xf numFmtId="49" fontId="10" fillId="2" borderId="23" xfId="1" applyNumberFormat="1" applyFont="1" applyFill="1" applyBorder="1" applyAlignment="1" applyProtection="1">
      <alignment horizontal="right"/>
    </xf>
    <xf numFmtId="166" fontId="10" fillId="2" borderId="24" xfId="1" applyNumberFormat="1" applyFont="1" applyFill="1" applyBorder="1" applyAlignment="1" applyProtection="1">
      <alignment horizontal="left"/>
    </xf>
    <xf numFmtId="49" fontId="10" fillId="2" borderId="24" xfId="1" applyNumberFormat="1" applyFont="1" applyFill="1" applyBorder="1" applyAlignment="1" applyProtection="1">
      <alignment horizontal="left" wrapText="1"/>
    </xf>
    <xf numFmtId="2" fontId="12" fillId="2" borderId="6" xfId="1" applyNumberFormat="1" applyFont="1" applyFill="1" applyBorder="1" applyAlignment="1" applyProtection="1">
      <alignment horizontal="right"/>
    </xf>
    <xf numFmtId="2" fontId="10" fillId="2" borderId="25" xfId="1" applyNumberFormat="1" applyFont="1" applyFill="1" applyBorder="1" applyAlignment="1" applyProtection="1">
      <alignment horizontal="right"/>
    </xf>
    <xf numFmtId="2" fontId="10" fillId="2" borderId="23" xfId="1" applyNumberFormat="1" applyFont="1" applyFill="1" applyBorder="1" applyAlignment="1" applyProtection="1">
      <alignment horizontal="right"/>
    </xf>
    <xf numFmtId="2" fontId="10" fillId="2" borderId="25" xfId="1" applyNumberFormat="1" applyFont="1" applyFill="1" applyBorder="1" applyAlignment="1" applyProtection="1">
      <alignment horizontal="center"/>
    </xf>
    <xf numFmtId="166" fontId="10" fillId="2" borderId="24" xfId="1" applyNumberFormat="1" applyFont="1" applyFill="1" applyBorder="1" applyAlignment="1" applyProtection="1"/>
    <xf numFmtId="166" fontId="10" fillId="2" borderId="24" xfId="1" applyNumberFormat="1" applyFont="1" applyFill="1" applyBorder="1" applyAlignment="1" applyProtection="1"/>
    <xf numFmtId="2" fontId="10" fillId="2" borderId="24" xfId="1" applyNumberFormat="1" applyFont="1" applyFill="1" applyBorder="1" applyAlignment="1" applyProtection="1">
      <alignment horizontal="right"/>
    </xf>
    <xf numFmtId="166" fontId="10" fillId="2" borderId="24" xfId="1" applyNumberFormat="1" applyFont="1" applyFill="1" applyBorder="1" applyAlignment="1" applyProtection="1">
      <alignment horizontal="right"/>
    </xf>
    <xf numFmtId="0" fontId="10" fillId="2" borderId="24" xfId="1" applyFont="1" applyFill="1" applyBorder="1" applyAlignment="1" applyProtection="1">
      <alignment horizontal="left" wrapText="1"/>
    </xf>
    <xf numFmtId="166" fontId="6" fillId="0" borderId="0" xfId="1" applyNumberFormat="1" applyFont="1" applyFill="1" applyBorder="1" applyAlignment="1" applyProtection="1">
      <alignment horizontal="right" vertical="center"/>
    </xf>
    <xf numFmtId="166" fontId="10" fillId="2" borderId="24" xfId="1" applyNumberFormat="1" applyFont="1" applyFill="1" applyBorder="1" applyAlignment="1" applyProtection="1">
      <alignment horizontal="right" vertical="center"/>
    </xf>
    <xf numFmtId="2" fontId="10" fillId="2" borderId="24" xfId="1" applyNumberFormat="1" applyFont="1" applyFill="1" applyBorder="1" applyAlignment="1" applyProtection="1">
      <alignment horizontal="right" vertical="center"/>
    </xf>
    <xf numFmtId="2" fontId="10" fillId="2" borderId="24" xfId="1" applyNumberFormat="1" applyFont="1" applyFill="1" applyBorder="1" applyAlignment="1" applyProtection="1">
      <alignment horizontal="right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10" fillId="0" borderId="24" xfId="1" applyNumberFormat="1" applyFont="1" applyBorder="1" applyAlignment="1" applyProtection="1">
      <alignment horizontal="center" vertical="center"/>
    </xf>
    <xf numFmtId="49" fontId="10" fillId="0" borderId="24" xfId="1" applyNumberFormat="1" applyFont="1" applyBorder="1" applyAlignment="1" applyProtection="1">
      <alignment horizontal="center" vertical="center"/>
    </xf>
    <xf numFmtId="49" fontId="10" fillId="0" borderId="28" xfId="1" applyNumberFormat="1" applyFont="1" applyBorder="1" applyAlignment="1" applyProtection="1">
      <alignment horizontal="center" vertical="center"/>
    </xf>
    <xf numFmtId="49" fontId="10" fillId="0" borderId="42" xfId="1" applyNumberFormat="1" applyFont="1" applyFill="1" applyBorder="1" applyAlignment="1" applyProtection="1">
      <alignment horizontal="center" vertical="center"/>
    </xf>
    <xf numFmtId="49" fontId="10" fillId="0" borderId="33" xfId="1" applyNumberFormat="1" applyFont="1" applyFill="1" applyBorder="1" applyAlignment="1" applyProtection="1">
      <alignment horizontal="center" vertical="center"/>
    </xf>
    <xf numFmtId="49" fontId="10" fillId="0" borderId="28" xfId="1" applyNumberFormat="1" applyFont="1" applyFill="1" applyBorder="1" applyAlignment="1" applyProtection="1">
      <alignment horizontal="center" vertical="center"/>
    </xf>
    <xf numFmtId="49" fontId="10" fillId="0" borderId="42" xfId="1" applyNumberFormat="1" applyFont="1" applyBorder="1" applyAlignment="1" applyProtection="1">
      <alignment horizontal="center" vertical="center"/>
    </xf>
    <xf numFmtId="49" fontId="10" fillId="0" borderId="33" xfId="1" applyNumberFormat="1" applyFont="1" applyBorder="1" applyAlignment="1" applyProtection="1">
      <alignment horizontal="center" vertical="center"/>
    </xf>
    <xf numFmtId="49" fontId="10" fillId="0" borderId="28" xfId="1" applyNumberFormat="1" applyFont="1" applyBorder="1" applyAlignment="1" applyProtection="1">
      <alignment horizontal="center" vertical="center"/>
    </xf>
    <xf numFmtId="0" fontId="10" fillId="0" borderId="33" xfId="1" applyFont="1" applyBorder="1" applyAlignment="1" applyProtection="1">
      <alignment horizontal="center" vertical="center"/>
    </xf>
    <xf numFmtId="0" fontId="10" fillId="0" borderId="29" xfId="1" applyFont="1" applyBorder="1" applyAlignment="1" applyProtection="1">
      <alignment horizontal="center" vertical="center"/>
    </xf>
    <xf numFmtId="0" fontId="10" fillId="0" borderId="28" xfId="1" applyFont="1" applyBorder="1" applyAlignment="1" applyProtection="1">
      <alignment horizontal="center" vertical="center"/>
    </xf>
    <xf numFmtId="0" fontId="10" fillId="0" borderId="24" xfId="1" applyFont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 wrapText="1"/>
    </xf>
    <xf numFmtId="49" fontId="10" fillId="0" borderId="24" xfId="1" applyNumberFormat="1" applyFont="1" applyBorder="1" applyAlignment="1" applyProtection="1">
      <alignment horizontal="center" vertical="center" wrapText="1"/>
    </xf>
    <xf numFmtId="49" fontId="10" fillId="0" borderId="32" xfId="1" applyNumberFormat="1" applyFont="1" applyBorder="1" applyAlignment="1" applyProtection="1">
      <alignment horizontal="center" vertical="center" wrapText="1"/>
    </xf>
    <xf numFmtId="49" fontId="10" fillId="0" borderId="37" xfId="1" applyNumberFormat="1" applyFont="1" applyFill="1" applyBorder="1" applyAlignment="1" applyProtection="1">
      <alignment horizontal="center" vertical="center" wrapText="1"/>
    </xf>
    <xf numFmtId="49" fontId="10" fillId="0" borderId="5" xfId="1" applyNumberFormat="1" applyFont="1" applyFill="1" applyBorder="1" applyAlignment="1" applyProtection="1">
      <alignment horizontal="center" vertical="center" wrapText="1"/>
    </xf>
    <xf numFmtId="49" fontId="10" fillId="0" borderId="32" xfId="1" applyNumberFormat="1" applyFont="1" applyFill="1" applyBorder="1" applyAlignment="1" applyProtection="1">
      <alignment horizontal="center" vertical="center" wrapText="1"/>
    </xf>
    <xf numFmtId="49" fontId="10" fillId="0" borderId="37" xfId="1" applyNumberFormat="1" applyFont="1" applyBorder="1" applyAlignment="1" applyProtection="1">
      <alignment horizontal="center" vertical="center" wrapText="1"/>
    </xf>
    <xf numFmtId="49" fontId="10" fillId="0" borderId="5" xfId="1" applyNumberFormat="1" applyFont="1" applyBorder="1" applyAlignment="1" applyProtection="1">
      <alignment horizontal="center" vertical="center" wrapText="1"/>
    </xf>
    <xf numFmtId="0" fontId="10" fillId="0" borderId="37" xfId="1" applyFont="1" applyBorder="1" applyAlignment="1" applyProtection="1">
      <alignment horizontal="center" vertical="center" wrapText="1"/>
    </xf>
    <xf numFmtId="0" fontId="10" fillId="0" borderId="24" xfId="1" applyFont="1" applyBorder="1" applyAlignment="1" applyProtection="1">
      <alignment horizontal="center" vertical="center" wrapText="1"/>
    </xf>
    <xf numFmtId="0" fontId="10" fillId="0" borderId="32" xfId="1" applyFont="1" applyBorder="1" applyAlignment="1" applyProtection="1">
      <alignment horizontal="center" vertical="center" wrapText="1"/>
    </xf>
    <xf numFmtId="0" fontId="10" fillId="0" borderId="41" xfId="1" applyFont="1" applyBorder="1" applyAlignment="1" applyProtection="1">
      <alignment horizontal="center"/>
    </xf>
    <xf numFmtId="0" fontId="10" fillId="0" borderId="12" xfId="1" applyFont="1" applyBorder="1" applyAlignment="1" applyProtection="1">
      <alignment horizontal="left"/>
    </xf>
    <xf numFmtId="49" fontId="10" fillId="0" borderId="36" xfId="1" applyNumberFormat="1" applyFont="1" applyBorder="1" applyAlignment="1" applyProtection="1">
      <alignment horizontal="center" vertical="center" wrapText="1"/>
    </xf>
    <xf numFmtId="49" fontId="10" fillId="0" borderId="41" xfId="1" applyNumberFormat="1" applyFont="1" applyFill="1" applyBorder="1" applyAlignment="1" applyProtection="1">
      <alignment horizontal="center" vertical="center" wrapText="1"/>
    </xf>
    <xf numFmtId="49" fontId="10" fillId="0" borderId="0" xfId="1" applyNumberFormat="1" applyFont="1" applyFill="1" applyBorder="1" applyAlignment="1" applyProtection="1">
      <alignment horizontal="center" vertical="center" wrapText="1"/>
    </xf>
    <xf numFmtId="49" fontId="10" fillId="0" borderId="36" xfId="1" applyNumberFormat="1" applyFont="1" applyFill="1" applyBorder="1" applyAlignment="1" applyProtection="1">
      <alignment horizontal="center" vertical="center" wrapText="1"/>
    </xf>
    <xf numFmtId="49" fontId="10" fillId="0" borderId="41" xfId="1" applyNumberFormat="1" applyFont="1" applyBorder="1" applyAlignment="1" applyProtection="1">
      <alignment horizontal="center" vertical="center" wrapText="1"/>
    </xf>
    <xf numFmtId="49" fontId="10" fillId="0" borderId="0" xfId="1" applyNumberFormat="1" applyFont="1" applyBorder="1" applyAlignment="1" applyProtection="1">
      <alignment horizontal="center" vertical="center" wrapText="1"/>
    </xf>
    <xf numFmtId="0" fontId="10" fillId="0" borderId="41" xfId="1" applyFont="1" applyBorder="1" applyAlignment="1" applyProtection="1">
      <alignment horizontal="center" vertical="center" wrapText="1"/>
    </xf>
    <xf numFmtId="0" fontId="10" fillId="0" borderId="36" xfId="1" applyFont="1" applyBorder="1" applyAlignment="1" applyProtection="1">
      <alignment horizontal="center" vertical="center" wrapText="1"/>
    </xf>
    <xf numFmtId="0" fontId="10" fillId="0" borderId="12" xfId="1" applyFont="1" applyBorder="1" applyAlignment="1" applyProtection="1">
      <alignment horizontal="center"/>
    </xf>
    <xf numFmtId="49" fontId="10" fillId="0" borderId="28" xfId="1" applyNumberFormat="1" applyFont="1" applyBorder="1" applyAlignment="1" applyProtection="1">
      <alignment horizontal="center" vertical="center" wrapText="1"/>
    </xf>
    <xf numFmtId="49" fontId="10" fillId="0" borderId="42" xfId="1" applyNumberFormat="1" applyFont="1" applyFill="1" applyBorder="1" applyAlignment="1" applyProtection="1">
      <alignment horizontal="center" vertical="center" wrapText="1"/>
    </xf>
    <xf numFmtId="49" fontId="10" fillId="0" borderId="33" xfId="1" applyNumberFormat="1" applyFont="1" applyFill="1" applyBorder="1" applyAlignment="1" applyProtection="1">
      <alignment horizontal="center" vertical="center" wrapText="1"/>
    </xf>
    <xf numFmtId="49" fontId="10" fillId="0" borderId="28" xfId="1" applyNumberFormat="1" applyFont="1" applyFill="1" applyBorder="1" applyAlignment="1" applyProtection="1">
      <alignment horizontal="center" vertical="center" wrapText="1"/>
    </xf>
    <xf numFmtId="49" fontId="10" fillId="0" borderId="42" xfId="1" applyNumberFormat="1" applyFont="1" applyBorder="1" applyAlignment="1" applyProtection="1">
      <alignment horizontal="center" vertical="center" wrapText="1"/>
    </xf>
    <xf numFmtId="49" fontId="10" fillId="0" borderId="33" xfId="1" applyNumberFormat="1" applyFont="1" applyBorder="1" applyAlignment="1" applyProtection="1">
      <alignment horizontal="center" vertical="center" wrapText="1"/>
    </xf>
    <xf numFmtId="49" fontId="10" fillId="0" borderId="5" xfId="1" applyNumberFormat="1" applyFont="1" applyBorder="1" applyAlignment="1" applyProtection="1">
      <alignment horizontal="center" vertical="center"/>
    </xf>
    <xf numFmtId="49" fontId="10" fillId="0" borderId="32" xfId="1" applyNumberFormat="1" applyFont="1" applyBorder="1" applyAlignment="1" applyProtection="1">
      <alignment horizontal="center" vertical="center"/>
    </xf>
    <xf numFmtId="0" fontId="10" fillId="0" borderId="42" xfId="1" applyFont="1" applyBorder="1" applyAlignment="1" applyProtection="1">
      <alignment horizontal="center" vertical="center" wrapText="1"/>
    </xf>
    <xf numFmtId="0" fontId="10" fillId="0" borderId="28" xfId="1" applyFont="1" applyBorder="1" applyAlignment="1" applyProtection="1">
      <alignment horizontal="center" vertical="center" wrapText="1"/>
    </xf>
    <xf numFmtId="0" fontId="10" fillId="0" borderId="29" xfId="1" applyFont="1" applyBorder="1" applyAlignment="1" applyProtection="1">
      <alignment horizontal="left"/>
    </xf>
    <xf numFmtId="49" fontId="6" fillId="0" borderId="0" xfId="1" applyNumberFormat="1" applyFont="1" applyFill="1" applyAlignment="1" applyProtection="1"/>
    <xf numFmtId="49" fontId="10" fillId="0" borderId="0" xfId="1" applyNumberFormat="1" applyFont="1" applyAlignment="1" applyProtection="1"/>
    <xf numFmtId="49" fontId="10" fillId="0" borderId="0" xfId="1" applyNumberFormat="1" applyFont="1" applyBorder="1" applyProtection="1"/>
    <xf numFmtId="49" fontId="10" fillId="0" borderId="5" xfId="1" applyNumberFormat="1" applyFont="1" applyBorder="1" applyProtection="1"/>
    <xf numFmtId="49" fontId="10" fillId="0" borderId="5" xfId="1" applyNumberFormat="1" applyFont="1" applyFill="1" applyBorder="1" applyProtection="1"/>
    <xf numFmtId="0" fontId="10" fillId="0" borderId="5" xfId="1" applyFont="1" applyBorder="1" applyAlignment="1" applyProtection="1"/>
    <xf numFmtId="0" fontId="10" fillId="0" borderId="5" xfId="1" applyFont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center"/>
    </xf>
    <xf numFmtId="49" fontId="10" fillId="0" borderId="24" xfId="1" applyNumberFormat="1" applyFont="1" applyBorder="1" applyAlignment="1" applyProtection="1">
      <alignment horizontal="center"/>
    </xf>
    <xf numFmtId="0" fontId="10" fillId="0" borderId="0" xfId="1" applyFont="1" applyFill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center"/>
      <protection locked="0"/>
    </xf>
    <xf numFmtId="49" fontId="10" fillId="0" borderId="24" xfId="1" applyNumberFormat="1" applyFont="1" applyFill="1" applyBorder="1" applyAlignment="1" applyProtection="1">
      <alignment horizontal="center"/>
      <protection locked="0"/>
    </xf>
    <xf numFmtId="0" fontId="10" fillId="0" borderId="5" xfId="1" applyNumberFormat="1" applyFont="1" applyBorder="1" applyAlignment="1" applyProtection="1">
      <alignment horizontal="left"/>
      <protection locked="0"/>
    </xf>
    <xf numFmtId="49" fontId="10" fillId="0" borderId="0" xfId="1" applyNumberFormat="1" applyFont="1" applyBorder="1" applyAlignment="1" applyProtection="1">
      <alignment horizontal="center"/>
    </xf>
    <xf numFmtId="0" fontId="10" fillId="0" borderId="0" xfId="1" applyNumberFormat="1" applyFont="1" applyFill="1" applyAlignment="1" applyProtection="1">
      <alignment horizontal="left" vertical="center" wrapText="1"/>
    </xf>
    <xf numFmtId="0" fontId="10" fillId="0" borderId="0" xfId="1" applyNumberFormat="1" applyFont="1" applyFill="1" applyAlignment="1" applyProtection="1">
      <alignment horizontal="left" wrapText="1"/>
    </xf>
    <xf numFmtId="0" fontId="10" fillId="0" borderId="0" xfId="1" applyFont="1" applyBorder="1" applyAlignment="1" applyProtection="1">
      <alignment horizontal="centerContinuous"/>
    </xf>
    <xf numFmtId="49" fontId="10" fillId="0" borderId="0" xfId="1" applyNumberFormat="1" applyFont="1" applyFill="1" applyBorder="1" applyProtection="1"/>
    <xf numFmtId="0" fontId="10" fillId="0" borderId="0" xfId="1" applyNumberFormat="1" applyFont="1" applyBorder="1" applyAlignment="1" applyProtection="1">
      <alignment horizontal="center"/>
      <protection locked="0"/>
    </xf>
    <xf numFmtId="49" fontId="10" fillId="0" borderId="0" xfId="1" applyNumberFormat="1" applyFont="1" applyBorder="1" applyAlignment="1" applyProtection="1"/>
    <xf numFmtId="0" fontId="10" fillId="0" borderId="0" xfId="1" applyFont="1" applyAlignment="1" applyProtection="1">
      <alignment horizontal="right"/>
    </xf>
    <xf numFmtId="0" fontId="10" fillId="0" borderId="0" xfId="1" applyFont="1" applyAlignment="1" applyProtection="1">
      <alignment horizontal="centerContinuous"/>
    </xf>
    <xf numFmtId="14" fontId="10" fillId="0" borderId="24" xfId="1" applyNumberFormat="1" applyFont="1" applyBorder="1" applyAlignment="1" applyProtection="1">
      <alignment horizontal="center"/>
      <protection locked="0"/>
    </xf>
    <xf numFmtId="0" fontId="10" fillId="0" borderId="0" xfId="1" applyNumberFormat="1" applyFont="1" applyBorder="1" applyAlignment="1" applyProtection="1">
      <protection locked="0"/>
    </xf>
    <xf numFmtId="49" fontId="10" fillId="0" borderId="0" xfId="1" applyNumberFormat="1" applyFont="1" applyFill="1" applyAlignment="1" applyProtection="1">
      <alignment horizontal="right"/>
    </xf>
    <xf numFmtId="0" fontId="10" fillId="0" borderId="24" xfId="1" applyFont="1" applyBorder="1" applyAlignment="1" applyProtection="1">
      <alignment horizontal="center"/>
    </xf>
    <xf numFmtId="0" fontId="12" fillId="0" borderId="0" xfId="1" applyFont="1" applyAlignment="1" applyProtection="1">
      <alignment horizontal="center" wrapText="1"/>
    </xf>
    <xf numFmtId="0" fontId="12" fillId="0" borderId="0" xfId="1" applyFont="1" applyAlignment="1" applyProtection="1">
      <alignment horizontal="center"/>
    </xf>
    <xf numFmtId="0" fontId="10" fillId="0" borderId="0" xfId="1" applyFont="1" applyAlignment="1" applyProtection="1">
      <alignment horizontal="center"/>
    </xf>
  </cellXfs>
  <cellStyles count="44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1"/>
    <cellStyle name="Обычный 2 2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48;&#1085;&#1092;&#1086;&#1088;&#1084;&#1072;&#1094;&#1080;&#1103;%20&#1087;&#1086;%20&#1088;&#1072;&#1089;&#1093;&#1086;&#1076;&#1072;&#1084;%20&#1073;&#1102;&#1076;&#1078;&#1077;&#1090;&#1072;%20(&#1086;&#1082;&#1090;&#1103;&#1073;&#1088;&#1100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/>
    <pageSetUpPr fitToPage="1"/>
  </sheetPr>
  <dimension ref="B1:G90"/>
  <sheetViews>
    <sheetView showGridLines="0" topLeftCell="A7" zoomScale="130" zoomScaleNormal="130" workbookViewId="0">
      <selection activeCell="D60" sqref="D60"/>
    </sheetView>
  </sheetViews>
  <sheetFormatPr defaultRowHeight="12.75" customHeight="1"/>
  <cols>
    <col min="1" max="1" width="7" customWidth="1"/>
    <col min="2" max="2" width="43.7109375" customWidth="1"/>
    <col min="3" max="3" width="6.140625" customWidth="1"/>
    <col min="4" max="4" width="31" customWidth="1"/>
    <col min="5" max="5" width="20.140625" customWidth="1"/>
    <col min="6" max="6" width="16.28515625" customWidth="1"/>
    <col min="7" max="7" width="14.5703125" customWidth="1"/>
  </cols>
  <sheetData>
    <row r="1" spans="2:7" ht="7.5" customHeight="1">
      <c r="B1" s="73"/>
      <c r="C1" s="73"/>
      <c r="D1" s="73"/>
      <c r="E1" s="73"/>
      <c r="F1" s="2"/>
      <c r="G1" s="2"/>
    </row>
    <row r="2" spans="2:7" ht="16.899999999999999" customHeight="1" thickBot="1">
      <c r="B2" s="73" t="s">
        <v>0</v>
      </c>
      <c r="C2" s="73"/>
      <c r="D2" s="73"/>
      <c r="E2" s="73"/>
      <c r="F2" s="3"/>
      <c r="G2" s="4" t="s">
        <v>1</v>
      </c>
    </row>
    <row r="3" spans="2:7">
      <c r="B3" s="5"/>
      <c r="C3" s="5"/>
      <c r="D3" s="5"/>
      <c r="E3" s="5"/>
      <c r="F3" s="6" t="s">
        <v>2</v>
      </c>
      <c r="G3" s="7" t="s">
        <v>3</v>
      </c>
    </row>
    <row r="4" spans="2:7">
      <c r="B4" s="74" t="s">
        <v>269</v>
      </c>
      <c r="C4" s="74"/>
      <c r="D4" s="74"/>
      <c r="E4" s="74"/>
      <c r="F4" s="3" t="s">
        <v>4</v>
      </c>
      <c r="G4" s="8">
        <v>44501</v>
      </c>
    </row>
    <row r="5" spans="2:7">
      <c r="B5" s="9"/>
      <c r="C5" s="9"/>
      <c r="D5" s="9"/>
      <c r="E5" s="9"/>
      <c r="F5" s="3" t="s">
        <v>5</v>
      </c>
      <c r="G5" s="10" t="s">
        <v>16</v>
      </c>
    </row>
    <row r="6" spans="2:7">
      <c r="B6" s="11" t="s">
        <v>6</v>
      </c>
      <c r="C6" s="75" t="s">
        <v>13</v>
      </c>
      <c r="D6" s="76"/>
      <c r="E6" s="76"/>
      <c r="F6" s="3" t="s">
        <v>7</v>
      </c>
      <c r="G6" s="10" t="s">
        <v>17</v>
      </c>
    </row>
    <row r="7" spans="2:7">
      <c r="B7" s="11" t="s">
        <v>8</v>
      </c>
      <c r="C7" s="77" t="s">
        <v>195</v>
      </c>
      <c r="D7" s="77"/>
      <c r="E7" s="77"/>
      <c r="F7" s="3" t="s">
        <v>9</v>
      </c>
      <c r="G7" s="12" t="s">
        <v>18</v>
      </c>
    </row>
    <row r="8" spans="2:7">
      <c r="B8" s="11" t="s">
        <v>14</v>
      </c>
      <c r="C8" s="11"/>
      <c r="D8" s="11"/>
      <c r="E8" s="13"/>
      <c r="F8" s="3"/>
      <c r="G8" s="14"/>
    </row>
    <row r="9" spans="2:7" ht="13.5" thickBot="1">
      <c r="B9" s="11" t="s">
        <v>15</v>
      </c>
      <c r="C9" s="11"/>
      <c r="D9" s="15"/>
      <c r="E9" s="13"/>
      <c r="F9" s="3" t="s">
        <v>10</v>
      </c>
      <c r="G9" s="16" t="s">
        <v>11</v>
      </c>
    </row>
    <row r="10" spans="2:7" ht="20.25" customHeight="1" thickBot="1">
      <c r="B10" s="73" t="s">
        <v>19</v>
      </c>
      <c r="C10" s="73"/>
      <c r="D10" s="73"/>
      <c r="E10" s="73"/>
      <c r="F10" s="1"/>
      <c r="G10" s="17"/>
    </row>
    <row r="11" spans="2:7" ht="4.1500000000000004" customHeight="1">
      <c r="B11" s="84" t="s">
        <v>20</v>
      </c>
      <c r="C11" s="78" t="s">
        <v>21</v>
      </c>
      <c r="D11" s="78" t="s">
        <v>22</v>
      </c>
      <c r="E11" s="81" t="s">
        <v>23</v>
      </c>
      <c r="F11" s="81" t="s">
        <v>24</v>
      </c>
      <c r="G11" s="87" t="s">
        <v>25</v>
      </c>
    </row>
    <row r="12" spans="2:7" ht="3.6" customHeight="1">
      <c r="B12" s="85"/>
      <c r="C12" s="79"/>
      <c r="D12" s="79"/>
      <c r="E12" s="82"/>
      <c r="F12" s="82"/>
      <c r="G12" s="88"/>
    </row>
    <row r="13" spans="2:7" ht="3" customHeight="1">
      <c r="B13" s="85"/>
      <c r="C13" s="79"/>
      <c r="D13" s="79"/>
      <c r="E13" s="82"/>
      <c r="F13" s="82"/>
      <c r="G13" s="88"/>
    </row>
    <row r="14" spans="2:7" ht="3" customHeight="1">
      <c r="B14" s="85"/>
      <c r="C14" s="79"/>
      <c r="D14" s="79"/>
      <c r="E14" s="82"/>
      <c r="F14" s="82"/>
      <c r="G14" s="88"/>
    </row>
    <row r="15" spans="2:7" ht="3" customHeight="1">
      <c r="B15" s="85"/>
      <c r="C15" s="79"/>
      <c r="D15" s="79"/>
      <c r="E15" s="82"/>
      <c r="F15" s="82"/>
      <c r="G15" s="88"/>
    </row>
    <row r="16" spans="2:7" ht="3" customHeight="1">
      <c r="B16" s="85"/>
      <c r="C16" s="79"/>
      <c r="D16" s="79"/>
      <c r="E16" s="82"/>
      <c r="F16" s="82"/>
      <c r="G16" s="88"/>
    </row>
    <row r="17" spans="2:7" ht="23.45" customHeight="1">
      <c r="B17" s="86"/>
      <c r="C17" s="80"/>
      <c r="D17" s="80"/>
      <c r="E17" s="83"/>
      <c r="F17" s="83"/>
      <c r="G17" s="89"/>
    </row>
    <row r="18" spans="2:7" ht="12.6" customHeight="1" thickBot="1">
      <c r="B18" s="18">
        <v>1</v>
      </c>
      <c r="C18" s="19">
        <v>2</v>
      </c>
      <c r="D18" s="20">
        <v>3</v>
      </c>
      <c r="E18" s="21" t="s">
        <v>26</v>
      </c>
      <c r="F18" s="22" t="s">
        <v>27</v>
      </c>
      <c r="G18" s="23" t="s">
        <v>28</v>
      </c>
    </row>
    <row r="19" spans="2:7">
      <c r="B19" s="24" t="s">
        <v>29</v>
      </c>
      <c r="C19" s="25" t="s">
        <v>30</v>
      </c>
      <c r="D19" s="26" t="s">
        <v>31</v>
      </c>
      <c r="E19" s="27">
        <f>E21+E73</f>
        <v>13468700</v>
      </c>
      <c r="F19" s="65">
        <f>F21+F72</f>
        <v>11821201.040000001</v>
      </c>
      <c r="G19" s="27">
        <f>E19-F19</f>
        <v>1647498.959999999</v>
      </c>
    </row>
    <row r="20" spans="2:7">
      <c r="B20" s="28" t="s">
        <v>32</v>
      </c>
      <c r="C20" s="29"/>
      <c r="D20" s="30"/>
      <c r="E20" s="31"/>
      <c r="F20" s="31"/>
      <c r="G20" s="32"/>
    </row>
    <row r="21" spans="2:7">
      <c r="B21" s="33" t="s">
        <v>33</v>
      </c>
      <c r="C21" s="34" t="s">
        <v>30</v>
      </c>
      <c r="D21" s="35" t="s">
        <v>34</v>
      </c>
      <c r="E21" s="36">
        <f>E22+E38+E55+E67+E45</f>
        <v>8484100</v>
      </c>
      <c r="F21" s="36">
        <f>F22+F38+F55+F67+F45+F59+F71+F63</f>
        <v>7416024.1500000004</v>
      </c>
      <c r="G21" s="37">
        <f>E21-F21</f>
        <v>1068075.8499999996</v>
      </c>
    </row>
    <row r="22" spans="2:7">
      <c r="B22" s="33" t="s">
        <v>35</v>
      </c>
      <c r="C22" s="34" t="s">
        <v>30</v>
      </c>
      <c r="D22" s="35" t="s">
        <v>36</v>
      </c>
      <c r="E22" s="36">
        <v>497800</v>
      </c>
      <c r="F22" s="36">
        <f>F23</f>
        <v>688067.99</v>
      </c>
      <c r="G22" s="37">
        <f>E22-F22</f>
        <v>-190267.99</v>
      </c>
    </row>
    <row r="23" spans="2:7">
      <c r="B23" s="33" t="s">
        <v>37</v>
      </c>
      <c r="C23" s="34" t="s">
        <v>30</v>
      </c>
      <c r="D23" s="35" t="s">
        <v>38</v>
      </c>
      <c r="E23" s="36">
        <f>E22</f>
        <v>497800</v>
      </c>
      <c r="F23" s="36">
        <f>F24+F33+F32</f>
        <v>688067.99</v>
      </c>
      <c r="G23" s="37">
        <f>E23-F23</f>
        <v>-190267.99</v>
      </c>
    </row>
    <row r="24" spans="2:7" ht="67.5">
      <c r="B24" s="33" t="s">
        <v>39</v>
      </c>
      <c r="C24" s="34" t="s">
        <v>30</v>
      </c>
      <c r="D24" s="35" t="s">
        <v>40</v>
      </c>
      <c r="E24" s="36">
        <f>E23</f>
        <v>497800</v>
      </c>
      <c r="F24" s="36">
        <f>F25+F26+F27+F31</f>
        <v>708133.39</v>
      </c>
      <c r="G24" s="37">
        <f t="shared" ref="G24" si="0">E24-F24</f>
        <v>-210333.39</v>
      </c>
    </row>
    <row r="25" spans="2:7" ht="90">
      <c r="B25" s="38" t="s">
        <v>41</v>
      </c>
      <c r="C25" s="34" t="s">
        <v>30</v>
      </c>
      <c r="D25" s="35" t="s">
        <v>42</v>
      </c>
      <c r="E25" s="36">
        <v>0</v>
      </c>
      <c r="F25" s="36">
        <v>704795.16</v>
      </c>
      <c r="G25" s="37">
        <f>E25-F25</f>
        <v>-704795.16</v>
      </c>
    </row>
    <row r="26" spans="2:7" ht="67.5">
      <c r="B26" s="38" t="s">
        <v>44</v>
      </c>
      <c r="C26" s="34" t="s">
        <v>30</v>
      </c>
      <c r="D26" s="35" t="s">
        <v>45</v>
      </c>
      <c r="E26" s="36">
        <v>0</v>
      </c>
      <c r="F26" s="36">
        <v>2240.85</v>
      </c>
      <c r="G26" s="37">
        <f t="shared" ref="G26:G90" si="1">E26-F26</f>
        <v>-2240.85</v>
      </c>
    </row>
    <row r="27" spans="2:7" ht="90">
      <c r="B27" s="38" t="s">
        <v>46</v>
      </c>
      <c r="C27" s="34" t="s">
        <v>30</v>
      </c>
      <c r="D27" s="35" t="s">
        <v>47</v>
      </c>
      <c r="E27" s="36">
        <v>0</v>
      </c>
      <c r="F27" s="36">
        <v>1097.3800000000001</v>
      </c>
      <c r="G27" s="37">
        <f t="shared" si="1"/>
        <v>-1097.3800000000001</v>
      </c>
    </row>
    <row r="28" spans="2:7" ht="101.25" hidden="1">
      <c r="B28" s="38" t="s">
        <v>48</v>
      </c>
      <c r="C28" s="34" t="s">
        <v>30</v>
      </c>
      <c r="D28" s="35" t="s">
        <v>49</v>
      </c>
      <c r="E28" s="36">
        <v>0</v>
      </c>
      <c r="F28" s="36">
        <v>0</v>
      </c>
      <c r="G28" s="37">
        <f t="shared" si="1"/>
        <v>0</v>
      </c>
    </row>
    <row r="29" spans="2:7" ht="123.75" hidden="1">
      <c r="B29" s="38" t="s">
        <v>50</v>
      </c>
      <c r="C29" s="34" t="s">
        <v>30</v>
      </c>
      <c r="D29" s="35" t="s">
        <v>51</v>
      </c>
      <c r="E29" s="36">
        <v>0</v>
      </c>
      <c r="F29" s="36">
        <v>0</v>
      </c>
      <c r="G29" s="37">
        <f t="shared" si="1"/>
        <v>0</v>
      </c>
    </row>
    <row r="30" spans="2:7" hidden="1">
      <c r="B30" s="38" t="s">
        <v>186</v>
      </c>
      <c r="C30" s="34" t="s">
        <v>30</v>
      </c>
      <c r="D30" s="35" t="s">
        <v>51</v>
      </c>
      <c r="E30" s="36">
        <v>0</v>
      </c>
      <c r="F30" s="36">
        <v>0</v>
      </c>
      <c r="G30" s="37">
        <f t="shared" si="1"/>
        <v>0</v>
      </c>
    </row>
    <row r="31" spans="2:7" ht="90">
      <c r="B31" s="38" t="s">
        <v>46</v>
      </c>
      <c r="C31" s="34" t="s">
        <v>30</v>
      </c>
      <c r="D31" s="35" t="s">
        <v>199</v>
      </c>
      <c r="E31" s="36">
        <v>0</v>
      </c>
      <c r="F31" s="36">
        <v>0</v>
      </c>
      <c r="G31" s="37">
        <f t="shared" si="1"/>
        <v>0</v>
      </c>
    </row>
    <row r="32" spans="2:7" ht="66" customHeight="1">
      <c r="B32" s="38" t="s">
        <v>194</v>
      </c>
      <c r="C32" s="34" t="s">
        <v>30</v>
      </c>
      <c r="D32" s="35" t="s">
        <v>49</v>
      </c>
      <c r="E32" s="36">
        <v>0</v>
      </c>
      <c r="F32" s="36">
        <v>0</v>
      </c>
      <c r="G32" s="37">
        <f t="shared" si="1"/>
        <v>0</v>
      </c>
    </row>
    <row r="33" spans="2:7" ht="39.75" customHeight="1">
      <c r="B33" s="33" t="s">
        <v>52</v>
      </c>
      <c r="C33" s="34" t="s">
        <v>30</v>
      </c>
      <c r="D33" s="35" t="s">
        <v>53</v>
      </c>
      <c r="E33" s="36">
        <v>0</v>
      </c>
      <c r="F33" s="36">
        <f>F34+F35+F36+F37</f>
        <v>-20065.400000000001</v>
      </c>
      <c r="G33" s="37">
        <f t="shared" si="1"/>
        <v>20065.400000000001</v>
      </c>
    </row>
    <row r="34" spans="2:7" ht="67.5">
      <c r="B34" s="33" t="s">
        <v>54</v>
      </c>
      <c r="C34" s="34" t="s">
        <v>30</v>
      </c>
      <c r="D34" s="35" t="s">
        <v>55</v>
      </c>
      <c r="E34" s="36">
        <v>0</v>
      </c>
      <c r="F34" s="36">
        <v>-20091.89</v>
      </c>
      <c r="G34" s="37">
        <f t="shared" si="1"/>
        <v>20091.89</v>
      </c>
    </row>
    <row r="35" spans="2:7" ht="67.5">
      <c r="B35" s="33" t="s">
        <v>54</v>
      </c>
      <c r="C35" s="34" t="s">
        <v>30</v>
      </c>
      <c r="D35" s="35" t="s">
        <v>59</v>
      </c>
      <c r="E35" s="36">
        <v>0</v>
      </c>
      <c r="F35" s="36">
        <v>11.76</v>
      </c>
      <c r="G35" s="37">
        <f t="shared" si="1"/>
        <v>-11.76</v>
      </c>
    </row>
    <row r="36" spans="2:7" ht="45">
      <c r="B36" s="33" t="s">
        <v>56</v>
      </c>
      <c r="C36" s="34" t="s">
        <v>30</v>
      </c>
      <c r="D36" s="35" t="s">
        <v>57</v>
      </c>
      <c r="E36" s="36">
        <v>0</v>
      </c>
      <c r="F36" s="36">
        <v>14.73</v>
      </c>
      <c r="G36" s="37">
        <f t="shared" si="1"/>
        <v>-14.73</v>
      </c>
    </row>
    <row r="37" spans="2:7" ht="67.5">
      <c r="B37" s="33" t="s">
        <v>58</v>
      </c>
      <c r="C37" s="34" t="s">
        <v>30</v>
      </c>
      <c r="D37" s="35" t="s">
        <v>198</v>
      </c>
      <c r="E37" s="36">
        <v>0</v>
      </c>
      <c r="F37" s="36">
        <v>0</v>
      </c>
      <c r="G37" s="37">
        <f t="shared" si="1"/>
        <v>0</v>
      </c>
    </row>
    <row r="38" spans="2:7">
      <c r="B38" s="33" t="s">
        <v>60</v>
      </c>
      <c r="C38" s="34" t="s">
        <v>30</v>
      </c>
      <c r="D38" s="35" t="s">
        <v>61</v>
      </c>
      <c r="E38" s="36">
        <v>3494900</v>
      </c>
      <c r="F38" s="36">
        <f>F39</f>
        <v>4049648.87</v>
      </c>
      <c r="G38" s="37">
        <f t="shared" si="1"/>
        <v>-554748.87000000011</v>
      </c>
    </row>
    <row r="39" spans="2:7">
      <c r="B39" s="33" t="s">
        <v>62</v>
      </c>
      <c r="C39" s="34" t="s">
        <v>30</v>
      </c>
      <c r="D39" s="35" t="s">
        <v>63</v>
      </c>
      <c r="E39" s="36">
        <f>E38</f>
        <v>3494900</v>
      </c>
      <c r="F39" s="36">
        <f>F40</f>
        <v>4049648.87</v>
      </c>
      <c r="G39" s="37">
        <f t="shared" si="1"/>
        <v>-554748.87000000011</v>
      </c>
    </row>
    <row r="40" spans="2:7">
      <c r="B40" s="33" t="s">
        <v>62</v>
      </c>
      <c r="C40" s="34" t="s">
        <v>30</v>
      </c>
      <c r="D40" s="35" t="s">
        <v>64</v>
      </c>
      <c r="E40" s="36">
        <f>E39</f>
        <v>3494900</v>
      </c>
      <c r="F40" s="36">
        <f>F41+F42+F43+F44</f>
        <v>4049648.87</v>
      </c>
      <c r="G40" s="37">
        <f t="shared" si="1"/>
        <v>-554748.87000000011</v>
      </c>
    </row>
    <row r="41" spans="2:7" ht="45">
      <c r="B41" s="33" t="s">
        <v>65</v>
      </c>
      <c r="C41" s="34" t="s">
        <v>30</v>
      </c>
      <c r="D41" s="35" t="s">
        <v>66</v>
      </c>
      <c r="E41" s="36">
        <v>0</v>
      </c>
      <c r="F41" s="36">
        <v>4045914.2</v>
      </c>
      <c r="G41" s="37">
        <f t="shared" si="1"/>
        <v>-4045914.2</v>
      </c>
    </row>
    <row r="42" spans="2:7" ht="22.5">
      <c r="B42" s="33" t="s">
        <v>67</v>
      </c>
      <c r="C42" s="34" t="s">
        <v>30</v>
      </c>
      <c r="D42" s="35" t="s">
        <v>68</v>
      </c>
      <c r="E42" s="36">
        <v>0</v>
      </c>
      <c r="F42" s="36">
        <v>1775.67</v>
      </c>
      <c r="G42" s="37">
        <f t="shared" si="1"/>
        <v>-1775.67</v>
      </c>
    </row>
    <row r="43" spans="2:7" ht="22.5">
      <c r="B43" s="33" t="s">
        <v>67</v>
      </c>
      <c r="C43" s="34" t="s">
        <v>30</v>
      </c>
      <c r="D43" s="35" t="s">
        <v>189</v>
      </c>
      <c r="E43" s="36">
        <v>0</v>
      </c>
      <c r="F43" s="36">
        <v>1959</v>
      </c>
      <c r="G43" s="37">
        <f t="shared" si="1"/>
        <v>-1959</v>
      </c>
    </row>
    <row r="44" spans="2:7" ht="22.5">
      <c r="B44" s="33" t="s">
        <v>67</v>
      </c>
      <c r="C44" s="34" t="s">
        <v>257</v>
      </c>
      <c r="D44" s="35" t="s">
        <v>258</v>
      </c>
      <c r="E44" s="36">
        <v>0</v>
      </c>
      <c r="F44" s="36">
        <v>0</v>
      </c>
      <c r="G44" s="37">
        <f t="shared" ref="G44" si="2">E44-F44</f>
        <v>0</v>
      </c>
    </row>
    <row r="45" spans="2:7">
      <c r="B45" s="33" t="s">
        <v>69</v>
      </c>
      <c r="C45" s="34" t="s">
        <v>30</v>
      </c>
      <c r="D45" s="35" t="s">
        <v>70</v>
      </c>
      <c r="E45" s="36">
        <f>E46+E50</f>
        <v>4470000</v>
      </c>
      <c r="F45" s="36">
        <f>F46+F50</f>
        <v>2607248.0999999996</v>
      </c>
      <c r="G45" s="37">
        <f t="shared" si="1"/>
        <v>1862751.9000000004</v>
      </c>
    </row>
    <row r="46" spans="2:7">
      <c r="B46" s="33" t="s">
        <v>71</v>
      </c>
      <c r="C46" s="34" t="s">
        <v>30</v>
      </c>
      <c r="D46" s="35" t="s">
        <v>72</v>
      </c>
      <c r="E46" s="36">
        <v>195200</v>
      </c>
      <c r="F46" s="36">
        <f>F47</f>
        <v>63482.880000000005</v>
      </c>
      <c r="G46" s="37">
        <f t="shared" si="1"/>
        <v>131717.12</v>
      </c>
    </row>
    <row r="47" spans="2:7" ht="33.75">
      <c r="B47" s="33" t="s">
        <v>73</v>
      </c>
      <c r="C47" s="34" t="s">
        <v>30</v>
      </c>
      <c r="D47" s="35" t="s">
        <v>74</v>
      </c>
      <c r="E47" s="36">
        <f>E46</f>
        <v>195200</v>
      </c>
      <c r="F47" s="36">
        <f>F48+F49</f>
        <v>63482.880000000005</v>
      </c>
      <c r="G47" s="37">
        <f>E47-F47</f>
        <v>131717.12</v>
      </c>
    </row>
    <row r="48" spans="2:7" ht="67.5">
      <c r="B48" s="33" t="s">
        <v>75</v>
      </c>
      <c r="C48" s="34" t="s">
        <v>30</v>
      </c>
      <c r="D48" s="35" t="s">
        <v>76</v>
      </c>
      <c r="E48" s="36">
        <v>0</v>
      </c>
      <c r="F48" s="36">
        <v>63906.23</v>
      </c>
      <c r="G48" s="37">
        <f t="shared" si="1"/>
        <v>-63906.23</v>
      </c>
    </row>
    <row r="49" spans="2:7" ht="45">
      <c r="B49" s="33" t="s">
        <v>77</v>
      </c>
      <c r="C49" s="34" t="s">
        <v>30</v>
      </c>
      <c r="D49" s="35" t="s">
        <v>78</v>
      </c>
      <c r="E49" s="36">
        <v>0</v>
      </c>
      <c r="F49" s="36">
        <v>-423.35</v>
      </c>
      <c r="G49" s="37">
        <f t="shared" si="1"/>
        <v>423.35</v>
      </c>
    </row>
    <row r="50" spans="2:7">
      <c r="B50" s="33" t="s">
        <v>79</v>
      </c>
      <c r="C50" s="34" t="s">
        <v>30</v>
      </c>
      <c r="D50" s="35" t="s">
        <v>80</v>
      </c>
      <c r="E50" s="36">
        <f>E51+E53</f>
        <v>4274800</v>
      </c>
      <c r="F50" s="36">
        <f>F51+F53</f>
        <v>2543765.2199999997</v>
      </c>
      <c r="G50" s="37">
        <f t="shared" si="1"/>
        <v>1731034.7800000003</v>
      </c>
    </row>
    <row r="51" spans="2:7">
      <c r="B51" s="33" t="s">
        <v>81</v>
      </c>
      <c r="C51" s="34" t="s">
        <v>30</v>
      </c>
      <c r="D51" s="35" t="s">
        <v>82</v>
      </c>
      <c r="E51" s="36">
        <v>692000</v>
      </c>
      <c r="F51" s="36">
        <f>F52</f>
        <v>1102547.21</v>
      </c>
      <c r="G51" s="37">
        <f t="shared" si="1"/>
        <v>-410547.20999999996</v>
      </c>
    </row>
    <row r="52" spans="2:7" ht="33.75">
      <c r="B52" s="33" t="s">
        <v>83</v>
      </c>
      <c r="C52" s="34" t="s">
        <v>30</v>
      </c>
      <c r="D52" s="35" t="s">
        <v>84</v>
      </c>
      <c r="E52" s="36">
        <f>E51</f>
        <v>692000</v>
      </c>
      <c r="F52" s="36">
        <f>1097294.73+5252.48</f>
        <v>1102547.21</v>
      </c>
      <c r="G52" s="37">
        <f t="shared" si="1"/>
        <v>-410547.20999999996</v>
      </c>
    </row>
    <row r="53" spans="2:7">
      <c r="B53" s="33" t="s">
        <v>85</v>
      </c>
      <c r="C53" s="34" t="s">
        <v>30</v>
      </c>
      <c r="D53" s="35" t="s">
        <v>86</v>
      </c>
      <c r="E53" s="36">
        <v>3582800</v>
      </c>
      <c r="F53" s="36">
        <f>F54</f>
        <v>1441218.01</v>
      </c>
      <c r="G53" s="37">
        <f t="shared" si="1"/>
        <v>2141581.9900000002</v>
      </c>
    </row>
    <row r="54" spans="2:7" ht="33.75">
      <c r="B54" s="33" t="s">
        <v>87</v>
      </c>
      <c r="C54" s="34" t="s">
        <v>30</v>
      </c>
      <c r="D54" s="35" t="s">
        <v>88</v>
      </c>
      <c r="E54" s="36">
        <f>E53</f>
        <v>3582800</v>
      </c>
      <c r="F54" s="36">
        <f>1447754.21-6536.2</f>
        <v>1441218.01</v>
      </c>
      <c r="G54" s="37">
        <f t="shared" si="1"/>
        <v>2141581.9900000002</v>
      </c>
    </row>
    <row r="55" spans="2:7">
      <c r="B55" s="33" t="s">
        <v>89</v>
      </c>
      <c r="C55" s="34" t="s">
        <v>30</v>
      </c>
      <c r="D55" s="35" t="s">
        <v>90</v>
      </c>
      <c r="E55" s="36">
        <v>21400</v>
      </c>
      <c r="F55" s="36">
        <f>F56</f>
        <v>10900</v>
      </c>
      <c r="G55" s="37">
        <f t="shared" si="1"/>
        <v>10500</v>
      </c>
    </row>
    <row r="56" spans="2:7" ht="36.75" customHeight="1">
      <c r="B56" s="33" t="s">
        <v>91</v>
      </c>
      <c r="C56" s="34" t="s">
        <v>30</v>
      </c>
      <c r="D56" s="35" t="s">
        <v>92</v>
      </c>
      <c r="E56" s="36">
        <f>E55</f>
        <v>21400</v>
      </c>
      <c r="F56" s="36">
        <f>F57</f>
        <v>10900</v>
      </c>
      <c r="G56" s="37">
        <f t="shared" si="1"/>
        <v>10500</v>
      </c>
    </row>
    <row r="57" spans="2:7" ht="54" customHeight="1">
      <c r="B57" s="33" t="s">
        <v>93</v>
      </c>
      <c r="C57" s="34" t="s">
        <v>30</v>
      </c>
      <c r="D57" s="35" t="s">
        <v>94</v>
      </c>
      <c r="E57" s="36">
        <f>E56</f>
        <v>21400</v>
      </c>
      <c r="F57" s="36">
        <f>F58</f>
        <v>10900</v>
      </c>
      <c r="G57" s="37">
        <f t="shared" si="1"/>
        <v>10500</v>
      </c>
    </row>
    <row r="58" spans="2:7" ht="58.5" customHeight="1">
      <c r="B58" s="33" t="s">
        <v>93</v>
      </c>
      <c r="C58" s="34" t="s">
        <v>30</v>
      </c>
      <c r="D58" s="35" t="s">
        <v>95</v>
      </c>
      <c r="E58" s="36">
        <v>0</v>
      </c>
      <c r="F58" s="36">
        <v>10900</v>
      </c>
      <c r="G58" s="37">
        <f>E58-F58</f>
        <v>-10900</v>
      </c>
    </row>
    <row r="59" spans="2:7" ht="22.5">
      <c r="B59" s="33" t="s">
        <v>96</v>
      </c>
      <c r="C59" s="34" t="s">
        <v>30</v>
      </c>
      <c r="D59" s="35" t="s">
        <v>97</v>
      </c>
      <c r="E59" s="36">
        <v>0</v>
      </c>
      <c r="F59" s="36">
        <f>F60</f>
        <v>60159.19</v>
      </c>
      <c r="G59" s="37">
        <f t="shared" si="1"/>
        <v>-60159.19</v>
      </c>
    </row>
    <row r="60" spans="2:7">
      <c r="B60" s="33" t="s">
        <v>98</v>
      </c>
      <c r="C60" s="34" t="s">
        <v>30</v>
      </c>
      <c r="D60" s="35" t="s">
        <v>99</v>
      </c>
      <c r="E60" s="36">
        <v>0</v>
      </c>
      <c r="F60" s="36">
        <f>F61</f>
        <v>60159.19</v>
      </c>
      <c r="G60" s="37">
        <f t="shared" si="1"/>
        <v>-60159.19</v>
      </c>
    </row>
    <row r="61" spans="2:7">
      <c r="B61" s="33" t="s">
        <v>100</v>
      </c>
      <c r="C61" s="34" t="s">
        <v>30</v>
      </c>
      <c r="D61" s="35" t="s">
        <v>101</v>
      </c>
      <c r="E61" s="36">
        <v>0</v>
      </c>
      <c r="F61" s="36">
        <f>F62</f>
        <v>60159.19</v>
      </c>
      <c r="G61" s="37">
        <f t="shared" si="1"/>
        <v>-60159.19</v>
      </c>
    </row>
    <row r="62" spans="2:7" ht="22.5">
      <c r="B62" s="33" t="s">
        <v>102</v>
      </c>
      <c r="C62" s="34" t="s">
        <v>30</v>
      </c>
      <c r="D62" s="35" t="s">
        <v>103</v>
      </c>
      <c r="E62" s="36">
        <v>0</v>
      </c>
      <c r="F62" s="36">
        <v>60159.19</v>
      </c>
      <c r="G62" s="37">
        <f t="shared" si="1"/>
        <v>-60159.19</v>
      </c>
    </row>
    <row r="63" spans="2:7" ht="22.5" hidden="1">
      <c r="B63" s="33" t="s">
        <v>216</v>
      </c>
      <c r="C63" s="34" t="s">
        <v>30</v>
      </c>
      <c r="D63" s="35" t="s">
        <v>212</v>
      </c>
      <c r="E63" s="36">
        <f t="shared" ref="E63:F65" si="3">E64</f>
        <v>0</v>
      </c>
      <c r="F63" s="36">
        <f t="shared" si="3"/>
        <v>0</v>
      </c>
      <c r="G63" s="37">
        <f t="shared" si="1"/>
        <v>0</v>
      </c>
    </row>
    <row r="64" spans="2:7" ht="22.5" hidden="1">
      <c r="B64" s="33" t="s">
        <v>217</v>
      </c>
      <c r="C64" s="34" t="s">
        <v>30</v>
      </c>
      <c r="D64" s="35" t="s">
        <v>213</v>
      </c>
      <c r="E64" s="36">
        <f t="shared" si="3"/>
        <v>0</v>
      </c>
      <c r="F64" s="36">
        <f t="shared" si="3"/>
        <v>0</v>
      </c>
      <c r="G64" s="37">
        <f t="shared" si="1"/>
        <v>0</v>
      </c>
    </row>
    <row r="65" spans="2:7" ht="22.5" hidden="1">
      <c r="B65" s="33" t="s">
        <v>218</v>
      </c>
      <c r="C65" s="34" t="s">
        <v>30</v>
      </c>
      <c r="D65" s="35" t="s">
        <v>214</v>
      </c>
      <c r="E65" s="36">
        <f t="shared" si="3"/>
        <v>0</v>
      </c>
      <c r="F65" s="36">
        <f t="shared" si="3"/>
        <v>0</v>
      </c>
      <c r="G65" s="37">
        <f t="shared" si="1"/>
        <v>0</v>
      </c>
    </row>
    <row r="66" spans="2:7" ht="22.5" hidden="1">
      <c r="B66" s="33" t="s">
        <v>218</v>
      </c>
      <c r="C66" s="34" t="s">
        <v>30</v>
      </c>
      <c r="D66" s="35" t="s">
        <v>215</v>
      </c>
      <c r="E66" s="36">
        <v>0</v>
      </c>
      <c r="F66" s="36">
        <v>0</v>
      </c>
      <c r="G66" s="37">
        <f t="shared" si="1"/>
        <v>0</v>
      </c>
    </row>
    <row r="67" spans="2:7" hidden="1">
      <c r="B67" s="33" t="s">
        <v>104</v>
      </c>
      <c r="C67" s="34" t="s">
        <v>30</v>
      </c>
      <c r="D67" s="35" t="s">
        <v>105</v>
      </c>
      <c r="E67" s="36">
        <v>0</v>
      </c>
      <c r="F67" s="36">
        <v>0</v>
      </c>
      <c r="G67" s="37">
        <f t="shared" si="1"/>
        <v>0</v>
      </c>
    </row>
    <row r="68" spans="2:7" ht="33.75" hidden="1">
      <c r="B68" s="33" t="s">
        <v>106</v>
      </c>
      <c r="C68" s="34" t="s">
        <v>30</v>
      </c>
      <c r="D68" s="35" t="s">
        <v>107</v>
      </c>
      <c r="E68" s="36">
        <v>0</v>
      </c>
      <c r="F68" s="36">
        <v>0</v>
      </c>
      <c r="G68" s="37">
        <f t="shared" si="1"/>
        <v>0</v>
      </c>
    </row>
    <row r="69" spans="2:7" ht="45" hidden="1">
      <c r="B69" s="33" t="s">
        <v>108</v>
      </c>
      <c r="C69" s="34" t="s">
        <v>30</v>
      </c>
      <c r="D69" s="35" t="s">
        <v>109</v>
      </c>
      <c r="E69" s="36">
        <v>0</v>
      </c>
      <c r="F69" s="36">
        <v>0</v>
      </c>
      <c r="G69" s="37">
        <f t="shared" si="1"/>
        <v>0</v>
      </c>
    </row>
    <row r="70" spans="2:7" ht="45" hidden="1">
      <c r="B70" s="33" t="s">
        <v>108</v>
      </c>
      <c r="C70" s="34" t="s">
        <v>30</v>
      </c>
      <c r="D70" s="35" t="s">
        <v>110</v>
      </c>
      <c r="E70" s="36">
        <v>0</v>
      </c>
      <c r="F70" s="36">
        <v>0</v>
      </c>
      <c r="G70" s="37">
        <f t="shared" si="1"/>
        <v>0</v>
      </c>
    </row>
    <row r="71" spans="2:7" hidden="1">
      <c r="B71" s="33" t="s">
        <v>196</v>
      </c>
      <c r="C71" s="34" t="s">
        <v>30</v>
      </c>
      <c r="D71" s="35" t="s">
        <v>197</v>
      </c>
      <c r="E71" s="36">
        <v>0</v>
      </c>
      <c r="F71" s="36">
        <v>0</v>
      </c>
      <c r="G71" s="37">
        <f>E71-F71</f>
        <v>0</v>
      </c>
    </row>
    <row r="72" spans="2:7">
      <c r="B72" s="33" t="s">
        <v>111</v>
      </c>
      <c r="C72" s="34" t="s">
        <v>30</v>
      </c>
      <c r="D72" s="35" t="s">
        <v>112</v>
      </c>
      <c r="E72" s="36">
        <f>E74+E77+E82+E89</f>
        <v>4984600</v>
      </c>
      <c r="F72" s="71">
        <f>F73</f>
        <v>4405176.8900000006</v>
      </c>
      <c r="G72" s="37">
        <f t="shared" si="1"/>
        <v>579423.1099999994</v>
      </c>
    </row>
    <row r="73" spans="2:7" ht="33.75">
      <c r="B73" s="33" t="s">
        <v>113</v>
      </c>
      <c r="C73" s="34" t="s">
        <v>30</v>
      </c>
      <c r="D73" s="35" t="s">
        <v>114</v>
      </c>
      <c r="E73" s="36">
        <f>E72</f>
        <v>4984600</v>
      </c>
      <c r="F73" s="36">
        <f>F74+F77+F82+F90</f>
        <v>4405176.8900000006</v>
      </c>
      <c r="G73" s="37">
        <f t="shared" si="1"/>
        <v>579423.1099999994</v>
      </c>
    </row>
    <row r="74" spans="2:7" ht="22.5">
      <c r="B74" s="33" t="s">
        <v>115</v>
      </c>
      <c r="C74" s="34" t="s">
        <v>30</v>
      </c>
      <c r="D74" s="35" t="s">
        <v>203</v>
      </c>
      <c r="E74" s="36">
        <f>E75</f>
        <v>3838800</v>
      </c>
      <c r="F74" s="36">
        <f>F75</f>
        <v>3454800</v>
      </c>
      <c r="G74" s="37">
        <f t="shared" si="1"/>
        <v>384000</v>
      </c>
    </row>
    <row r="75" spans="2:7">
      <c r="B75" s="33" t="s">
        <v>116</v>
      </c>
      <c r="C75" s="34" t="s">
        <v>30</v>
      </c>
      <c r="D75" s="35" t="s">
        <v>219</v>
      </c>
      <c r="E75" s="36">
        <f>E76</f>
        <v>3838800</v>
      </c>
      <c r="F75" s="36">
        <f>F76</f>
        <v>3454800</v>
      </c>
      <c r="G75" s="37">
        <f t="shared" si="1"/>
        <v>384000</v>
      </c>
    </row>
    <row r="76" spans="2:7" ht="22.5">
      <c r="B76" s="33" t="s">
        <v>117</v>
      </c>
      <c r="C76" s="34" t="s">
        <v>30</v>
      </c>
      <c r="D76" s="35" t="s">
        <v>225</v>
      </c>
      <c r="E76" s="36">
        <v>3838800</v>
      </c>
      <c r="F76" s="36">
        <v>3454800</v>
      </c>
      <c r="G76" s="37">
        <f t="shared" si="1"/>
        <v>384000</v>
      </c>
    </row>
    <row r="77" spans="2:7" ht="22.5">
      <c r="B77" s="33" t="s">
        <v>118</v>
      </c>
      <c r="C77" s="34" t="s">
        <v>30</v>
      </c>
      <c r="D77" s="35" t="s">
        <v>211</v>
      </c>
      <c r="E77" s="36">
        <f>E78+E80</f>
        <v>240400</v>
      </c>
      <c r="F77" s="36">
        <f>F78+F80</f>
        <v>177126.89</v>
      </c>
      <c r="G77" s="37">
        <f t="shared" si="1"/>
        <v>63273.109999999986</v>
      </c>
    </row>
    <row r="78" spans="2:7" ht="33.75">
      <c r="B78" s="33" t="s">
        <v>119</v>
      </c>
      <c r="C78" s="34" t="s">
        <v>30</v>
      </c>
      <c r="D78" s="35" t="s">
        <v>204</v>
      </c>
      <c r="E78" s="36">
        <v>200</v>
      </c>
      <c r="F78" s="36">
        <f>F79</f>
        <v>200</v>
      </c>
      <c r="G78" s="37">
        <f t="shared" si="1"/>
        <v>0</v>
      </c>
    </row>
    <row r="79" spans="2:7" ht="33.75">
      <c r="B79" s="33" t="s">
        <v>120</v>
      </c>
      <c r="C79" s="34" t="s">
        <v>30</v>
      </c>
      <c r="D79" s="35" t="s">
        <v>205</v>
      </c>
      <c r="E79" s="36">
        <v>200</v>
      </c>
      <c r="F79" s="36">
        <v>200</v>
      </c>
      <c r="G79" s="37">
        <f t="shared" si="1"/>
        <v>0</v>
      </c>
    </row>
    <row r="80" spans="2:7" ht="33.75">
      <c r="B80" s="33" t="s">
        <v>121</v>
      </c>
      <c r="C80" s="34" t="s">
        <v>30</v>
      </c>
      <c r="D80" s="35" t="s">
        <v>206</v>
      </c>
      <c r="E80" s="36">
        <v>240200</v>
      </c>
      <c r="F80" s="36">
        <f>F81</f>
        <v>176926.89</v>
      </c>
      <c r="G80" s="37">
        <f t="shared" si="1"/>
        <v>63273.109999999986</v>
      </c>
    </row>
    <row r="81" spans="2:7" ht="33.75">
      <c r="B81" s="33" t="s">
        <v>122</v>
      </c>
      <c r="C81" s="34" t="s">
        <v>30</v>
      </c>
      <c r="D81" s="35" t="s">
        <v>207</v>
      </c>
      <c r="E81" s="36">
        <f>E80</f>
        <v>240200</v>
      </c>
      <c r="F81" s="36">
        <v>176926.89</v>
      </c>
      <c r="G81" s="37">
        <f t="shared" si="1"/>
        <v>63273.109999999986</v>
      </c>
    </row>
    <row r="82" spans="2:7">
      <c r="B82" s="33" t="s">
        <v>123</v>
      </c>
      <c r="C82" s="34" t="s">
        <v>30</v>
      </c>
      <c r="D82" s="35" t="s">
        <v>208</v>
      </c>
      <c r="E82" s="36">
        <f>E83</f>
        <v>568700</v>
      </c>
      <c r="F82" s="36">
        <f>F83</f>
        <v>439950</v>
      </c>
      <c r="G82" s="36">
        <f t="shared" ref="G82" si="4">G83</f>
        <v>128750</v>
      </c>
    </row>
    <row r="83" spans="2:7" ht="45">
      <c r="B83" s="33" t="s">
        <v>124</v>
      </c>
      <c r="C83" s="34" t="s">
        <v>30</v>
      </c>
      <c r="D83" s="35" t="s">
        <v>209</v>
      </c>
      <c r="E83" s="36">
        <f>E84</f>
        <v>568700</v>
      </c>
      <c r="F83" s="36">
        <f>F84</f>
        <v>439950</v>
      </c>
      <c r="G83" s="37">
        <f t="shared" si="1"/>
        <v>128750</v>
      </c>
    </row>
    <row r="84" spans="2:7" ht="56.25">
      <c r="B84" s="33" t="s">
        <v>125</v>
      </c>
      <c r="C84" s="34" t="s">
        <v>30</v>
      </c>
      <c r="D84" s="35" t="s">
        <v>210</v>
      </c>
      <c r="E84" s="36">
        <v>568700</v>
      </c>
      <c r="F84" s="36">
        <v>439950</v>
      </c>
      <c r="G84" s="37">
        <f t="shared" si="1"/>
        <v>128750</v>
      </c>
    </row>
    <row r="85" spans="2:7" ht="63" hidden="1">
      <c r="B85" s="72" t="s">
        <v>126</v>
      </c>
      <c r="C85" s="34" t="s">
        <v>30</v>
      </c>
      <c r="D85" s="35" t="s">
        <v>127</v>
      </c>
      <c r="E85" s="36">
        <v>0</v>
      </c>
      <c r="F85" s="36">
        <v>0</v>
      </c>
      <c r="G85" s="37">
        <f t="shared" si="1"/>
        <v>0</v>
      </c>
    </row>
    <row r="86" spans="2:7" ht="56.25" hidden="1">
      <c r="B86" s="33" t="s">
        <v>128</v>
      </c>
      <c r="C86" s="34" t="s">
        <v>30</v>
      </c>
      <c r="D86" s="35" t="s">
        <v>129</v>
      </c>
      <c r="E86" s="36">
        <v>0</v>
      </c>
      <c r="F86" s="36">
        <v>0</v>
      </c>
      <c r="G86" s="37">
        <f t="shared" si="1"/>
        <v>0</v>
      </c>
    </row>
    <row r="87" spans="2:7" ht="56.25" hidden="1">
      <c r="B87" s="33" t="s">
        <v>130</v>
      </c>
      <c r="C87" s="34" t="s">
        <v>30</v>
      </c>
      <c r="D87" s="35" t="s">
        <v>131</v>
      </c>
      <c r="E87" s="36">
        <v>0</v>
      </c>
      <c r="F87" s="36">
        <v>0</v>
      </c>
      <c r="G87" s="37">
        <f t="shared" si="1"/>
        <v>0</v>
      </c>
    </row>
    <row r="88" spans="2:7" ht="45" hidden="1">
      <c r="B88" s="33" t="s">
        <v>132</v>
      </c>
      <c r="C88" s="34" t="s">
        <v>30</v>
      </c>
      <c r="D88" s="35" t="s">
        <v>133</v>
      </c>
      <c r="E88" s="36">
        <v>0</v>
      </c>
      <c r="F88" s="36">
        <v>0</v>
      </c>
      <c r="G88" s="37">
        <f t="shared" si="1"/>
        <v>0</v>
      </c>
    </row>
    <row r="89" spans="2:7" ht="24" customHeight="1">
      <c r="B89" s="33" t="s">
        <v>220</v>
      </c>
      <c r="C89" s="67" t="s">
        <v>30</v>
      </c>
      <c r="D89" s="35" t="s">
        <v>221</v>
      </c>
      <c r="E89" s="36">
        <v>336700</v>
      </c>
      <c r="F89" s="36">
        <f>F90</f>
        <v>333300</v>
      </c>
      <c r="G89" s="37">
        <f t="shared" si="1"/>
        <v>3400</v>
      </c>
    </row>
    <row r="90" spans="2:7" ht="23.25" customHeight="1">
      <c r="B90" s="33" t="s">
        <v>220</v>
      </c>
      <c r="C90" s="67" t="s">
        <v>30</v>
      </c>
      <c r="D90" s="35" t="s">
        <v>222</v>
      </c>
      <c r="E90" s="36">
        <v>336700</v>
      </c>
      <c r="F90" s="36">
        <v>333300</v>
      </c>
      <c r="G90" s="37">
        <f t="shared" si="1"/>
        <v>3400</v>
      </c>
    </row>
  </sheetData>
  <mergeCells count="12">
    <mergeCell ref="C11:C17"/>
    <mergeCell ref="E11:E17"/>
    <mergeCell ref="D11:D17"/>
    <mergeCell ref="B11:B17"/>
    <mergeCell ref="G11:G17"/>
    <mergeCell ref="F11:F17"/>
    <mergeCell ref="B10:E10"/>
    <mergeCell ref="B1:E1"/>
    <mergeCell ref="B4:E4"/>
    <mergeCell ref="B2:E2"/>
    <mergeCell ref="C6:E6"/>
    <mergeCell ref="C7:E7"/>
  </mergeCells>
  <conditionalFormatting sqref="G21 G83:G90 G28:G81">
    <cfRule type="cellIs" priority="2" stopIfTrue="1" operator="equal">
      <formula>0</formula>
    </cfRule>
  </conditionalFormatting>
  <pageMargins left="0.39370078740157483" right="0.39370078740157483" top="0.19685039370078741" bottom="0.19685039370078741" header="0" footer="0"/>
  <pageSetup paperSize="9" scale="70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A1:T123"/>
  <sheetViews>
    <sheetView showZeros="0" tabSelected="1" view="pageBreakPreview" topLeftCell="A96" zoomScale="140" zoomScaleSheetLayoutView="140" workbookViewId="0">
      <selection activeCell="C110" sqref="C110:G113"/>
    </sheetView>
  </sheetViews>
  <sheetFormatPr defaultRowHeight="12.75"/>
  <cols>
    <col min="1" max="1" width="35.28515625" style="99" customWidth="1"/>
    <col min="2" max="2" width="5" style="99" customWidth="1"/>
    <col min="3" max="3" width="23.5703125" style="99" customWidth="1"/>
    <col min="4" max="4" width="6.140625" style="99" customWidth="1"/>
    <col min="5" max="5" width="8.5703125" style="99" customWidth="1"/>
    <col min="6" max="6" width="14" style="97" customWidth="1"/>
    <col min="7" max="7" width="12" style="97" customWidth="1"/>
    <col min="8" max="8" width="15.28515625" style="97" customWidth="1"/>
    <col min="9" max="9" width="5.7109375" style="97" customWidth="1"/>
    <col min="10" max="10" width="7" style="97" customWidth="1"/>
    <col min="11" max="11" width="5.7109375" style="97" hidden="1" customWidth="1"/>
    <col min="12" max="12" width="5.7109375" style="98" customWidth="1"/>
    <col min="13" max="13" width="5.5703125" style="97" customWidth="1"/>
    <col min="14" max="14" width="5.7109375" style="97" hidden="1" customWidth="1"/>
    <col min="15" max="15" width="13" style="94" customWidth="1"/>
    <col min="16" max="16" width="13.7109375" style="94" customWidth="1"/>
    <col min="17" max="17" width="17.85546875" style="94" customWidth="1"/>
    <col min="18" max="18" width="5.7109375" style="94" hidden="1" customWidth="1"/>
    <col min="19" max="19" width="30.28515625" style="96" hidden="1" customWidth="1"/>
    <col min="20" max="20" width="39.28515625" style="95" hidden="1" customWidth="1"/>
    <col min="21" max="16384" width="9.140625" style="94"/>
  </cols>
  <sheetData>
    <row r="1" spans="1:20">
      <c r="A1" s="103"/>
      <c r="B1" s="103"/>
      <c r="C1" s="103"/>
      <c r="D1" s="103"/>
      <c r="E1" s="103"/>
      <c r="F1" s="103"/>
      <c r="G1" s="103"/>
      <c r="H1" s="103"/>
      <c r="I1" s="239" t="s">
        <v>370</v>
      </c>
      <c r="J1" s="239"/>
      <c r="K1" s="239"/>
      <c r="L1" s="239"/>
      <c r="M1" s="239"/>
      <c r="N1" s="239"/>
      <c r="O1" s="239"/>
      <c r="P1" s="239"/>
      <c r="Q1" s="239"/>
      <c r="R1" s="103"/>
    </row>
    <row r="2" spans="1:20">
      <c r="A2" s="238" t="s">
        <v>369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103"/>
      <c r="R2" s="103"/>
      <c r="S2" s="98"/>
    </row>
    <row r="3" spans="1:20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103"/>
      <c r="R3" s="103"/>
      <c r="S3" s="98"/>
    </row>
    <row r="4" spans="1:20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103"/>
      <c r="R4" s="103"/>
      <c r="S4" s="98" t="s">
        <v>368</v>
      </c>
    </row>
    <row r="5" spans="1:20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6" t="s">
        <v>1</v>
      </c>
      <c r="R5" s="236"/>
      <c r="S5" s="218"/>
    </row>
    <row r="6" spans="1:20">
      <c r="A6" s="107"/>
      <c r="B6" s="107"/>
      <c r="C6" s="107"/>
      <c r="D6" s="107"/>
      <c r="E6" s="107"/>
      <c r="F6" s="104"/>
      <c r="G6" s="103"/>
      <c r="H6" s="103"/>
      <c r="I6" s="104"/>
      <c r="J6" s="104"/>
      <c r="K6" s="104"/>
      <c r="L6" s="105"/>
      <c r="M6" s="104"/>
      <c r="N6" s="104"/>
      <c r="O6" s="103"/>
      <c r="P6" s="235"/>
      <c r="Q6" s="219"/>
      <c r="R6" s="219"/>
      <c r="S6" s="218"/>
      <c r="T6" s="95" t="s">
        <v>177</v>
      </c>
    </row>
    <row r="7" spans="1:20">
      <c r="A7" s="107"/>
      <c r="B7" s="232"/>
      <c r="C7" s="232"/>
      <c r="D7" s="231"/>
      <c r="E7" s="231"/>
      <c r="F7" s="230" t="s">
        <v>367</v>
      </c>
      <c r="G7" s="234"/>
      <c r="H7" s="234"/>
      <c r="I7" s="234"/>
      <c r="J7" s="227"/>
      <c r="K7" s="227"/>
      <c r="L7" s="228"/>
      <c r="M7" s="227"/>
      <c r="N7" s="227"/>
      <c r="O7" s="108"/>
      <c r="P7" s="220" t="s">
        <v>366</v>
      </c>
      <c r="Q7" s="233">
        <v>44501</v>
      </c>
      <c r="R7" s="233"/>
      <c r="S7" s="221"/>
      <c r="T7" s="95" t="s">
        <v>143</v>
      </c>
    </row>
    <row r="8" spans="1:20">
      <c r="A8" s="107"/>
      <c r="B8" s="232"/>
      <c r="C8" s="232"/>
      <c r="D8" s="231"/>
      <c r="E8" s="231"/>
      <c r="F8" s="230"/>
      <c r="G8" s="229"/>
      <c r="H8" s="229"/>
      <c r="I8" s="229"/>
      <c r="J8" s="227"/>
      <c r="K8" s="227"/>
      <c r="L8" s="228"/>
      <c r="M8" s="227"/>
      <c r="N8" s="227"/>
      <c r="O8" s="108"/>
      <c r="P8" s="220"/>
      <c r="Q8" s="222"/>
      <c r="R8" s="222"/>
      <c r="S8" s="221"/>
    </row>
    <row r="9" spans="1:20" ht="33.75" customHeight="1">
      <c r="A9" s="226" t="s">
        <v>365</v>
      </c>
      <c r="B9" s="226"/>
      <c r="C9" s="226"/>
      <c r="D9" s="226"/>
      <c r="E9" s="226"/>
      <c r="F9" s="226"/>
      <c r="G9" s="223" t="s">
        <v>364</v>
      </c>
      <c r="H9" s="223"/>
      <c r="I9" s="223"/>
      <c r="J9" s="223"/>
      <c r="K9" s="223"/>
      <c r="L9" s="223"/>
      <c r="M9" s="223"/>
      <c r="N9" s="223"/>
      <c r="O9" s="223"/>
      <c r="P9" s="220" t="s">
        <v>363</v>
      </c>
      <c r="Q9" s="222" t="s">
        <v>16</v>
      </c>
      <c r="R9" s="222"/>
      <c r="S9" s="221"/>
      <c r="T9" s="95" t="s">
        <v>362</v>
      </c>
    </row>
    <row r="10" spans="1:20">
      <c r="A10" s="225" t="s">
        <v>361</v>
      </c>
      <c r="B10" s="225"/>
      <c r="C10" s="225"/>
      <c r="D10" s="225"/>
      <c r="E10" s="225"/>
      <c r="F10" s="225"/>
      <c r="G10" s="224"/>
      <c r="H10" s="224"/>
      <c r="I10" s="224"/>
      <c r="J10" s="224"/>
      <c r="K10" s="224"/>
      <c r="L10" s="224"/>
      <c r="M10" s="224"/>
      <c r="N10" s="224"/>
      <c r="O10" s="224"/>
      <c r="P10" s="220" t="s">
        <v>360</v>
      </c>
      <c r="Q10" s="222" t="s">
        <v>17</v>
      </c>
      <c r="R10" s="222"/>
      <c r="S10" s="221"/>
    </row>
    <row r="11" spans="1:20">
      <c r="A11" s="109" t="s">
        <v>187</v>
      </c>
      <c r="B11" s="109"/>
      <c r="C11" s="109"/>
      <c r="D11" s="109"/>
      <c r="E11" s="109"/>
      <c r="F11" s="109"/>
      <c r="G11" s="223" t="s">
        <v>359</v>
      </c>
      <c r="H11" s="223"/>
      <c r="I11" s="223"/>
      <c r="J11" s="223"/>
      <c r="K11" s="223"/>
      <c r="L11" s="223"/>
      <c r="M11" s="223"/>
      <c r="N11" s="223"/>
      <c r="O11" s="223"/>
      <c r="P11" s="220" t="s">
        <v>9</v>
      </c>
      <c r="Q11" s="222" t="s">
        <v>18</v>
      </c>
      <c r="R11" s="222"/>
      <c r="S11" s="221"/>
      <c r="T11" s="95" t="s">
        <v>177</v>
      </c>
    </row>
    <row r="12" spans="1:20">
      <c r="A12" s="109" t="s">
        <v>358</v>
      </c>
      <c r="B12" s="109"/>
      <c r="C12" s="109"/>
      <c r="D12" s="109"/>
      <c r="E12" s="109"/>
      <c r="F12" s="109"/>
      <c r="G12" s="104"/>
      <c r="H12" s="104"/>
      <c r="I12" s="104"/>
      <c r="J12" s="104"/>
      <c r="K12" s="104"/>
      <c r="L12" s="105"/>
      <c r="M12" s="104"/>
      <c r="N12" s="104"/>
      <c r="O12" s="103"/>
      <c r="P12" s="220"/>
      <c r="Q12" s="219"/>
      <c r="R12" s="219"/>
      <c r="S12" s="218"/>
    </row>
    <row r="13" spans="1:20">
      <c r="A13" s="109" t="s">
        <v>357</v>
      </c>
      <c r="B13" s="109"/>
      <c r="C13" s="109"/>
      <c r="D13" s="109"/>
      <c r="E13" s="109"/>
      <c r="F13" s="109"/>
      <c r="G13" s="104"/>
      <c r="H13" s="104"/>
      <c r="I13" s="104"/>
      <c r="J13" s="104"/>
      <c r="K13" s="104"/>
      <c r="L13" s="105"/>
      <c r="M13" s="104"/>
      <c r="N13" s="104"/>
      <c r="O13" s="103"/>
      <c r="P13" s="220" t="s">
        <v>356</v>
      </c>
      <c r="Q13" s="219" t="s">
        <v>11</v>
      </c>
      <c r="R13" s="219"/>
      <c r="S13" s="218"/>
      <c r="T13" s="95" t="s">
        <v>355</v>
      </c>
    </row>
    <row r="14" spans="1:20">
      <c r="A14" s="217"/>
      <c r="B14" s="217"/>
      <c r="C14" s="217"/>
      <c r="D14" s="216"/>
      <c r="E14" s="216"/>
      <c r="F14" s="214"/>
      <c r="G14" s="214"/>
      <c r="H14" s="214"/>
      <c r="I14" s="214"/>
      <c r="J14" s="214"/>
      <c r="K14" s="214"/>
      <c r="L14" s="215"/>
      <c r="M14" s="214"/>
      <c r="N14" s="214"/>
      <c r="O14" s="214"/>
      <c r="P14" s="213"/>
      <c r="Q14" s="212"/>
      <c r="R14" s="212"/>
      <c r="S14" s="211"/>
    </row>
    <row r="15" spans="1:20" ht="12.75" customHeight="1">
      <c r="A15" s="210"/>
      <c r="B15" s="189"/>
      <c r="C15" s="209" t="s">
        <v>354</v>
      </c>
      <c r="D15" s="187" t="s">
        <v>353</v>
      </c>
      <c r="E15" s="208" t="s">
        <v>352</v>
      </c>
      <c r="F15" s="200" t="s">
        <v>23</v>
      </c>
      <c r="G15" s="200" t="s">
        <v>351</v>
      </c>
      <c r="H15" s="173" t="s">
        <v>350</v>
      </c>
      <c r="I15" s="172"/>
      <c r="J15" s="172"/>
      <c r="K15" s="172"/>
      <c r="L15" s="172"/>
      <c r="M15" s="172"/>
      <c r="N15" s="172"/>
      <c r="O15" s="172"/>
      <c r="P15" s="179" t="s">
        <v>25</v>
      </c>
      <c r="Q15" s="179"/>
      <c r="R15" s="179"/>
      <c r="S15" s="178"/>
    </row>
    <row r="16" spans="1:20">
      <c r="A16" s="199"/>
      <c r="B16" s="189" t="s">
        <v>349</v>
      </c>
      <c r="C16" s="198"/>
      <c r="D16" s="187"/>
      <c r="E16" s="197"/>
      <c r="F16" s="191"/>
      <c r="G16" s="191"/>
      <c r="H16" s="207"/>
      <c r="I16" s="206"/>
      <c r="J16" s="206"/>
      <c r="K16" s="206"/>
      <c r="L16" s="206"/>
      <c r="M16" s="206"/>
      <c r="N16" s="206"/>
      <c r="O16" s="206"/>
      <c r="P16" s="179"/>
      <c r="Q16" s="179"/>
      <c r="R16" s="179"/>
      <c r="S16" s="178"/>
    </row>
    <row r="17" spans="1:20" ht="12.75" customHeight="1">
      <c r="A17" s="190"/>
      <c r="B17" s="189" t="s">
        <v>348</v>
      </c>
      <c r="C17" s="198"/>
      <c r="D17" s="187"/>
      <c r="E17" s="197"/>
      <c r="F17" s="191"/>
      <c r="G17" s="191"/>
      <c r="H17" s="200" t="s">
        <v>347</v>
      </c>
      <c r="I17" s="200" t="s">
        <v>346</v>
      </c>
      <c r="J17" s="205"/>
      <c r="K17" s="204"/>
      <c r="L17" s="203" t="s">
        <v>345</v>
      </c>
      <c r="M17" s="202"/>
      <c r="N17" s="201"/>
      <c r="O17" s="200" t="s">
        <v>344</v>
      </c>
      <c r="P17" s="179" t="s">
        <v>343</v>
      </c>
      <c r="Q17" s="179" t="s">
        <v>342</v>
      </c>
      <c r="R17" s="179"/>
      <c r="S17" s="178"/>
    </row>
    <row r="18" spans="1:20">
      <c r="A18" s="199" t="s">
        <v>20</v>
      </c>
      <c r="B18" s="189" t="s">
        <v>341</v>
      </c>
      <c r="C18" s="198"/>
      <c r="D18" s="187"/>
      <c r="E18" s="197"/>
      <c r="F18" s="191"/>
      <c r="G18" s="191"/>
      <c r="H18" s="191"/>
      <c r="I18" s="191"/>
      <c r="J18" s="196"/>
      <c r="K18" s="195"/>
      <c r="L18" s="194"/>
      <c r="M18" s="193"/>
      <c r="N18" s="192"/>
      <c r="O18" s="191"/>
      <c r="P18" s="179"/>
      <c r="Q18" s="179"/>
      <c r="R18" s="179"/>
      <c r="S18" s="178"/>
    </row>
    <row r="19" spans="1:20">
      <c r="A19" s="190"/>
      <c r="B19" s="189"/>
      <c r="C19" s="198"/>
      <c r="D19" s="187"/>
      <c r="E19" s="197"/>
      <c r="F19" s="191"/>
      <c r="G19" s="191"/>
      <c r="H19" s="191"/>
      <c r="I19" s="191"/>
      <c r="J19" s="196"/>
      <c r="K19" s="195"/>
      <c r="L19" s="194"/>
      <c r="M19" s="193"/>
      <c r="N19" s="192"/>
      <c r="O19" s="191"/>
      <c r="P19" s="179"/>
      <c r="Q19" s="179"/>
      <c r="R19" s="179"/>
      <c r="S19" s="178"/>
    </row>
    <row r="20" spans="1:20">
      <c r="A20" s="190"/>
      <c r="B20" s="189"/>
      <c r="C20" s="188"/>
      <c r="D20" s="187"/>
      <c r="E20" s="186"/>
      <c r="F20" s="180"/>
      <c r="G20" s="180"/>
      <c r="H20" s="180"/>
      <c r="I20" s="180"/>
      <c r="J20" s="185"/>
      <c r="K20" s="184"/>
      <c r="L20" s="183"/>
      <c r="M20" s="182"/>
      <c r="N20" s="181"/>
      <c r="O20" s="180"/>
      <c r="P20" s="179"/>
      <c r="Q20" s="179"/>
      <c r="R20" s="179"/>
      <c r="S20" s="178"/>
    </row>
    <row r="21" spans="1:20">
      <c r="A21" s="177">
        <v>1</v>
      </c>
      <c r="B21" s="175">
        <v>2</v>
      </c>
      <c r="C21" s="176">
        <v>3</v>
      </c>
      <c r="D21" s="175">
        <v>4</v>
      </c>
      <c r="E21" s="174">
        <v>5</v>
      </c>
      <c r="F21" s="167" t="s">
        <v>28</v>
      </c>
      <c r="G21" s="167" t="s">
        <v>340</v>
      </c>
      <c r="H21" s="167" t="s">
        <v>339</v>
      </c>
      <c r="I21" s="173" t="s">
        <v>338</v>
      </c>
      <c r="J21" s="172"/>
      <c r="K21" s="171"/>
      <c r="L21" s="170" t="s">
        <v>337</v>
      </c>
      <c r="M21" s="169"/>
      <c r="N21" s="168"/>
      <c r="O21" s="167" t="s">
        <v>336</v>
      </c>
      <c r="P21" s="166" t="s">
        <v>335</v>
      </c>
      <c r="Q21" s="165" t="s">
        <v>334</v>
      </c>
      <c r="R21" s="165"/>
      <c r="S21" s="164"/>
    </row>
    <row r="22" spans="1:20">
      <c r="A22" s="159" t="s">
        <v>134</v>
      </c>
      <c r="B22" s="119" t="s">
        <v>135</v>
      </c>
      <c r="C22" s="119" t="s">
        <v>333</v>
      </c>
      <c r="D22" s="119"/>
      <c r="E22" s="119"/>
      <c r="F22" s="162">
        <f>F45+F47+F49+F51+F59+F63+F67+F69+F71+F73+F87+F91+F94+F96+F98</f>
        <v>14690600</v>
      </c>
      <c r="G22" s="162">
        <f>G45+G47+G49+G51+G59+G63+G67+G69+G71+G73+G87+G91+G94+G96+G98</f>
        <v>10090969.07</v>
      </c>
      <c r="H22" s="162">
        <f>H45+H49+H51+H59+H63+H67+H69+H71+H73+H87+H91+H94+H96+H98+H47</f>
        <v>10090969.07</v>
      </c>
      <c r="I22" s="163"/>
      <c r="J22" s="163"/>
      <c r="K22" s="163"/>
      <c r="L22" s="163"/>
      <c r="M22" s="163"/>
      <c r="N22" s="163"/>
      <c r="O22" s="162">
        <f>O45+O49+O51+O59+O63+O67+O69+O71+O73+O87+O91+O94+O96+O98+O47</f>
        <v>10090969.07</v>
      </c>
      <c r="P22" s="162">
        <f>P45+P47+P49+P51+P59+P63+P67+P69+P71+P73+P87+P91+P94+P96+P98</f>
        <v>4599630.9300000006</v>
      </c>
      <c r="Q22" s="161"/>
      <c r="R22" s="161"/>
      <c r="S22" s="160"/>
    </row>
    <row r="23" spans="1:20" s="110" customFormat="1">
      <c r="A23" s="159" t="s">
        <v>32</v>
      </c>
      <c r="B23" s="119"/>
      <c r="C23" s="119"/>
      <c r="D23" s="119"/>
      <c r="E23" s="119"/>
      <c r="F23" s="115"/>
      <c r="G23" s="115"/>
      <c r="H23" s="115"/>
      <c r="I23" s="157"/>
      <c r="J23" s="157"/>
      <c r="K23" s="157"/>
      <c r="L23" s="157"/>
      <c r="M23" s="157"/>
      <c r="N23" s="157"/>
      <c r="O23" s="116"/>
      <c r="P23" s="115"/>
      <c r="Q23" s="158"/>
      <c r="R23" s="158"/>
      <c r="S23" s="112"/>
      <c r="T23" s="95"/>
    </row>
    <row r="24" spans="1:20" s="110" customFormat="1" ht="12.75" customHeight="1">
      <c r="A24" s="121" t="s">
        <v>330</v>
      </c>
      <c r="B24" s="119"/>
      <c r="C24" s="120" t="s">
        <v>226</v>
      </c>
      <c r="D24" s="119" t="s">
        <v>303</v>
      </c>
      <c r="E24" s="119" t="s">
        <v>276</v>
      </c>
      <c r="F24" s="115">
        <v>3256100</v>
      </c>
      <c r="G24" s="115">
        <f>1830209.34+90817.35+21246+9173.76+1370+27598.99+4123+99667.74+14893+22878.77+52726.17</f>
        <v>2174704.12</v>
      </c>
      <c r="H24" s="115">
        <f>G24</f>
        <v>2174704.12</v>
      </c>
      <c r="I24" s="157"/>
      <c r="J24" s="157"/>
      <c r="K24" s="157"/>
      <c r="L24" s="157"/>
      <c r="M24" s="157"/>
      <c r="N24" s="157"/>
      <c r="O24" s="116">
        <f>H24</f>
        <v>2174704.12</v>
      </c>
      <c r="P24" s="115">
        <f>F24-G24</f>
        <v>1081395.8799999999</v>
      </c>
      <c r="Q24" s="156"/>
      <c r="R24" s="156"/>
      <c r="S24" s="112"/>
      <c r="T24" s="111" t="s">
        <v>332</v>
      </c>
    </row>
    <row r="25" spans="1:20" s="110" customFormat="1" ht="12.75" customHeight="1">
      <c r="A25" s="121" t="s">
        <v>326</v>
      </c>
      <c r="B25" s="119"/>
      <c r="C25" s="120" t="s">
        <v>227</v>
      </c>
      <c r="D25" s="119" t="s">
        <v>302</v>
      </c>
      <c r="E25" s="119" t="s">
        <v>276</v>
      </c>
      <c r="F25" s="116">
        <v>1061200</v>
      </c>
      <c r="G25" s="115">
        <f>550537.57+47026.22+6569.88+11553.92+453.1+13.6</f>
        <v>616154.28999999992</v>
      </c>
      <c r="H25" s="115">
        <f>G25</f>
        <v>616154.28999999992</v>
      </c>
      <c r="I25" s="153"/>
      <c r="J25" s="152"/>
      <c r="K25" s="115"/>
      <c r="L25" s="153"/>
      <c r="M25" s="152"/>
      <c r="N25" s="115"/>
      <c r="O25" s="116">
        <f>H25</f>
        <v>616154.28999999992</v>
      </c>
      <c r="P25" s="115">
        <f>F25-G25</f>
        <v>445045.71000000008</v>
      </c>
      <c r="Q25" s="155"/>
      <c r="R25" s="155"/>
      <c r="S25" s="112"/>
      <c r="T25" s="111"/>
    </row>
    <row r="26" spans="1:20" s="110" customFormat="1" ht="12.75" customHeight="1">
      <c r="A26" s="121" t="s">
        <v>328</v>
      </c>
      <c r="B26" s="119"/>
      <c r="C26" s="120" t="s">
        <v>228</v>
      </c>
      <c r="D26" s="119" t="s">
        <v>327</v>
      </c>
      <c r="E26" s="119" t="s">
        <v>276</v>
      </c>
      <c r="F26" s="115">
        <v>257700</v>
      </c>
      <c r="G26" s="115">
        <f>121423.95+48825.6+7296+1895.1+283+1696.33+253</f>
        <v>181672.97999999998</v>
      </c>
      <c r="H26" s="115">
        <f>G26</f>
        <v>181672.97999999998</v>
      </c>
      <c r="I26" s="157"/>
      <c r="J26" s="157"/>
      <c r="K26" s="157"/>
      <c r="L26" s="157"/>
      <c r="M26" s="157"/>
      <c r="N26" s="157"/>
      <c r="O26" s="116">
        <f>H26</f>
        <v>181672.97999999998</v>
      </c>
      <c r="P26" s="115">
        <f>F26-G26</f>
        <v>76027.020000000019</v>
      </c>
      <c r="Q26" s="156"/>
      <c r="R26" s="156"/>
      <c r="S26" s="112"/>
      <c r="T26" s="111" t="s">
        <v>331</v>
      </c>
    </row>
    <row r="27" spans="1:20" s="110" customFormat="1" ht="12.75" customHeight="1">
      <c r="A27" s="121" t="s">
        <v>330</v>
      </c>
      <c r="B27" s="119"/>
      <c r="C27" s="120" t="s">
        <v>226</v>
      </c>
      <c r="D27" s="119" t="s">
        <v>303</v>
      </c>
      <c r="E27" s="119" t="s">
        <v>295</v>
      </c>
      <c r="F27" s="115">
        <v>20000</v>
      </c>
      <c r="G27" s="115">
        <f>12146.13+1479+221</f>
        <v>13846.13</v>
      </c>
      <c r="H27" s="115">
        <f>G27</f>
        <v>13846.13</v>
      </c>
      <c r="I27" s="157"/>
      <c r="J27" s="157"/>
      <c r="K27" s="157"/>
      <c r="L27" s="157"/>
      <c r="M27" s="157"/>
      <c r="N27" s="157"/>
      <c r="O27" s="116">
        <f>H27</f>
        <v>13846.13</v>
      </c>
      <c r="P27" s="115">
        <f>F27-G27</f>
        <v>6153.8700000000008</v>
      </c>
      <c r="Q27" s="156"/>
      <c r="R27" s="156"/>
      <c r="S27" s="112"/>
      <c r="T27" s="111" t="s">
        <v>329</v>
      </c>
    </row>
    <row r="28" spans="1:20" s="110" customFormat="1" ht="12.75" customHeight="1">
      <c r="A28" s="121" t="s">
        <v>328</v>
      </c>
      <c r="B28" s="119"/>
      <c r="C28" s="120" t="s">
        <v>228</v>
      </c>
      <c r="D28" s="119" t="s">
        <v>327</v>
      </c>
      <c r="E28" s="119" t="s">
        <v>295</v>
      </c>
      <c r="F28" s="116">
        <v>500</v>
      </c>
      <c r="G28" s="115">
        <v>0</v>
      </c>
      <c r="H28" s="115">
        <f>G28</f>
        <v>0</v>
      </c>
      <c r="I28" s="116"/>
      <c r="J28" s="117"/>
      <c r="K28" s="115"/>
      <c r="L28" s="116"/>
      <c r="M28" s="117"/>
      <c r="N28" s="115"/>
      <c r="O28" s="116">
        <f>H28</f>
        <v>0</v>
      </c>
      <c r="P28" s="115">
        <f>F28-G28</f>
        <v>500</v>
      </c>
      <c r="Q28" s="155"/>
      <c r="R28" s="155"/>
      <c r="S28" s="112"/>
      <c r="T28" s="111"/>
    </row>
    <row r="29" spans="1:20" s="110" customFormat="1" ht="10.5" customHeight="1">
      <c r="A29" s="121" t="s">
        <v>326</v>
      </c>
      <c r="B29" s="119"/>
      <c r="C29" s="120" t="s">
        <v>227</v>
      </c>
      <c r="D29" s="119" t="s">
        <v>302</v>
      </c>
      <c r="E29" s="119" t="s">
        <v>295</v>
      </c>
      <c r="F29" s="116">
        <v>6100</v>
      </c>
      <c r="G29" s="115">
        <f>3668.16+374+49.3+86.7+3.4-13.6</f>
        <v>4167.9599999999991</v>
      </c>
      <c r="H29" s="115">
        <f>G29</f>
        <v>4167.9599999999991</v>
      </c>
      <c r="I29" s="153"/>
      <c r="J29" s="152"/>
      <c r="K29" s="115"/>
      <c r="L29" s="153"/>
      <c r="M29" s="152"/>
      <c r="N29" s="115"/>
      <c r="O29" s="116">
        <f>H29</f>
        <v>4167.9599999999991</v>
      </c>
      <c r="P29" s="115">
        <f>F29-G29</f>
        <v>1932.0400000000009</v>
      </c>
      <c r="Q29" s="155"/>
      <c r="R29" s="155"/>
      <c r="S29" s="112"/>
      <c r="T29" s="111"/>
    </row>
    <row r="30" spans="1:20" s="110" customFormat="1" ht="12.75" customHeight="1">
      <c r="A30" s="121" t="s">
        <v>325</v>
      </c>
      <c r="B30" s="119"/>
      <c r="C30" s="120" t="s">
        <v>229</v>
      </c>
      <c r="D30" s="119" t="s">
        <v>324</v>
      </c>
      <c r="E30" s="119" t="s">
        <v>276</v>
      </c>
      <c r="F30" s="116">
        <f>100000+32000</f>
        <v>132000</v>
      </c>
      <c r="G30" s="115">
        <f>87688.83+7900+2127.36+41.21</f>
        <v>97757.400000000009</v>
      </c>
      <c r="H30" s="115">
        <f>G30</f>
        <v>97757.400000000009</v>
      </c>
      <c r="I30" s="153"/>
      <c r="J30" s="152"/>
      <c r="K30" s="115"/>
      <c r="L30" s="153"/>
      <c r="M30" s="152"/>
      <c r="N30" s="115"/>
      <c r="O30" s="116">
        <f>H30</f>
        <v>97757.400000000009</v>
      </c>
      <c r="P30" s="115">
        <f>F30-G30</f>
        <v>34242.599999999991</v>
      </c>
      <c r="Q30" s="155"/>
      <c r="R30" s="155"/>
      <c r="S30" s="112"/>
      <c r="T30" s="111"/>
    </row>
    <row r="31" spans="1:20" s="110" customFormat="1" ht="12.75" customHeight="1">
      <c r="A31" s="121" t="s">
        <v>190</v>
      </c>
      <c r="B31" s="119"/>
      <c r="C31" s="120" t="s">
        <v>256</v>
      </c>
      <c r="D31" s="119" t="s">
        <v>291</v>
      </c>
      <c r="E31" s="119" t="s">
        <v>276</v>
      </c>
      <c r="F31" s="116">
        <f>122000-19100</f>
        <v>102900</v>
      </c>
      <c r="G31" s="115">
        <f>68762.42+4500+3000</f>
        <v>76262.42</v>
      </c>
      <c r="H31" s="115">
        <f>G31</f>
        <v>76262.42</v>
      </c>
      <c r="I31" s="153"/>
      <c r="J31" s="152"/>
      <c r="K31" s="115"/>
      <c r="L31" s="116"/>
      <c r="M31" s="117"/>
      <c r="N31" s="115"/>
      <c r="O31" s="116">
        <f>H31</f>
        <v>76262.42</v>
      </c>
      <c r="P31" s="115">
        <f>F31-G31</f>
        <v>26637.58</v>
      </c>
      <c r="Q31" s="114"/>
      <c r="R31" s="155"/>
      <c r="S31" s="112"/>
      <c r="T31" s="111"/>
    </row>
    <row r="32" spans="1:20" s="110" customFormat="1" ht="12.75" customHeight="1">
      <c r="A32" s="121" t="s">
        <v>190</v>
      </c>
      <c r="B32" s="119"/>
      <c r="C32" s="120" t="s">
        <v>229</v>
      </c>
      <c r="D32" s="119" t="s">
        <v>291</v>
      </c>
      <c r="E32" s="119" t="s">
        <v>276</v>
      </c>
      <c r="F32" s="116">
        <v>19100</v>
      </c>
      <c r="G32" s="115">
        <f>10997.72+1632.08+1632.08+1632.08</f>
        <v>15893.96</v>
      </c>
      <c r="H32" s="115">
        <f>G32</f>
        <v>15893.96</v>
      </c>
      <c r="I32" s="153"/>
      <c r="J32" s="152"/>
      <c r="K32" s="115"/>
      <c r="L32" s="116"/>
      <c r="M32" s="117"/>
      <c r="N32" s="115"/>
      <c r="O32" s="116">
        <f>H32</f>
        <v>15893.96</v>
      </c>
      <c r="P32" s="115">
        <f>F32-G32</f>
        <v>3206.0400000000009</v>
      </c>
      <c r="Q32" s="114"/>
      <c r="R32" s="155"/>
      <c r="S32" s="112"/>
      <c r="T32" s="111"/>
    </row>
    <row r="33" spans="1:20" s="110" customFormat="1" ht="12.75" customHeight="1">
      <c r="A33" s="121" t="s">
        <v>191</v>
      </c>
      <c r="B33" s="119"/>
      <c r="C33" s="120" t="s">
        <v>229</v>
      </c>
      <c r="D33" s="139" t="s">
        <v>289</v>
      </c>
      <c r="E33" s="119" t="s">
        <v>276</v>
      </c>
      <c r="F33" s="116">
        <f>70000+30000+60000+5400</f>
        <v>165400</v>
      </c>
      <c r="G33" s="115">
        <f>153126.32+4900+732+1239.04+287.23+9100+1360+2301.2+533.46-13000</f>
        <v>160579.25000000003</v>
      </c>
      <c r="H33" s="115">
        <f>G33</f>
        <v>160579.25000000003</v>
      </c>
      <c r="I33" s="153"/>
      <c r="J33" s="152"/>
      <c r="K33" s="115"/>
      <c r="L33" s="153"/>
      <c r="M33" s="152"/>
      <c r="N33" s="115"/>
      <c r="O33" s="116">
        <f>H33</f>
        <v>160579.25000000003</v>
      </c>
      <c r="P33" s="115">
        <f>F33-G33</f>
        <v>4820.7499999999709</v>
      </c>
      <c r="Q33" s="114"/>
      <c r="R33" s="113"/>
      <c r="S33" s="112"/>
      <c r="T33" s="111"/>
    </row>
    <row r="34" spans="1:20" s="110" customFormat="1" ht="12.75" customHeight="1">
      <c r="A34" s="121" t="s">
        <v>191</v>
      </c>
      <c r="B34" s="119"/>
      <c r="C34" s="120" t="s">
        <v>229</v>
      </c>
      <c r="D34" s="139" t="s">
        <v>289</v>
      </c>
      <c r="E34" s="119" t="s">
        <v>282</v>
      </c>
      <c r="F34" s="116">
        <v>46500</v>
      </c>
      <c r="G34" s="115">
        <f>22390.28+15400+2301+3894.22+902.75</f>
        <v>44888.25</v>
      </c>
      <c r="H34" s="115">
        <f>G34</f>
        <v>44888.25</v>
      </c>
      <c r="I34" s="116"/>
      <c r="J34" s="117"/>
      <c r="K34" s="115"/>
      <c r="L34" s="141"/>
      <c r="M34" s="154"/>
      <c r="N34" s="115"/>
      <c r="O34" s="116">
        <f>H34</f>
        <v>44888.25</v>
      </c>
      <c r="P34" s="115">
        <f>F34-G34</f>
        <v>1611.75</v>
      </c>
      <c r="Q34" s="114"/>
      <c r="R34" s="113"/>
      <c r="S34" s="112"/>
      <c r="T34" s="111"/>
    </row>
    <row r="35" spans="1:20" s="110" customFormat="1" ht="13.5" customHeight="1">
      <c r="A35" s="121" t="s">
        <v>192</v>
      </c>
      <c r="B35" s="119"/>
      <c r="C35" s="120" t="s">
        <v>229</v>
      </c>
      <c r="D35" s="139" t="s">
        <v>287</v>
      </c>
      <c r="E35" s="119" t="s">
        <v>276</v>
      </c>
      <c r="F35" s="116">
        <f>150000+10000+8600</f>
        <v>168600</v>
      </c>
      <c r="G35" s="115">
        <f>128712.59+5000+2835.96+2000+13000</f>
        <v>151548.54999999999</v>
      </c>
      <c r="H35" s="115">
        <f>G35</f>
        <v>151548.54999999999</v>
      </c>
      <c r="I35" s="141"/>
      <c r="J35" s="154"/>
      <c r="K35" s="115"/>
      <c r="L35" s="116"/>
      <c r="M35" s="117"/>
      <c r="N35" s="115"/>
      <c r="O35" s="116">
        <f>H35</f>
        <v>151548.54999999999</v>
      </c>
      <c r="P35" s="115">
        <f>F35-G35</f>
        <v>17051.450000000012</v>
      </c>
      <c r="Q35" s="114"/>
      <c r="R35" s="113"/>
      <c r="S35" s="112"/>
      <c r="T35" s="111"/>
    </row>
    <row r="36" spans="1:20" s="110" customFormat="1" ht="22.5" customHeight="1">
      <c r="A36" s="121" t="s">
        <v>323</v>
      </c>
      <c r="B36" s="119"/>
      <c r="C36" s="120" t="s">
        <v>229</v>
      </c>
      <c r="D36" s="119" t="s">
        <v>322</v>
      </c>
      <c r="E36" s="119" t="s">
        <v>276</v>
      </c>
      <c r="F36" s="116">
        <f>350000-32000-14000</f>
        <v>304000</v>
      </c>
      <c r="G36" s="115">
        <f>158998+48152</f>
        <v>207150</v>
      </c>
      <c r="H36" s="115">
        <f>G36</f>
        <v>207150</v>
      </c>
      <c r="I36" s="141"/>
      <c r="J36" s="154"/>
      <c r="K36" s="115"/>
      <c r="L36" s="116"/>
      <c r="M36" s="117"/>
      <c r="N36" s="115"/>
      <c r="O36" s="116">
        <f>H36</f>
        <v>207150</v>
      </c>
      <c r="P36" s="115">
        <f>F36-G36</f>
        <v>96850</v>
      </c>
      <c r="Q36" s="114"/>
      <c r="R36" s="113"/>
      <c r="S36" s="112"/>
      <c r="T36" s="111"/>
    </row>
    <row r="37" spans="1:20" s="110" customFormat="1" ht="27" customHeight="1">
      <c r="A37" s="121" t="s">
        <v>301</v>
      </c>
      <c r="B37" s="119"/>
      <c r="C37" s="120" t="s">
        <v>229</v>
      </c>
      <c r="D37" s="139" t="s">
        <v>277</v>
      </c>
      <c r="E37" s="119" t="s">
        <v>276</v>
      </c>
      <c r="F37" s="116">
        <f>200000-30000</f>
        <v>170000</v>
      </c>
      <c r="G37" s="115">
        <f>75495-1200</f>
        <v>74295</v>
      </c>
      <c r="H37" s="115">
        <f>G37</f>
        <v>74295</v>
      </c>
      <c r="I37" s="116"/>
      <c r="J37" s="117"/>
      <c r="K37" s="115"/>
      <c r="L37" s="116"/>
      <c r="M37" s="117"/>
      <c r="N37" s="115"/>
      <c r="O37" s="116">
        <f>H37</f>
        <v>74295</v>
      </c>
      <c r="P37" s="115">
        <f>F37-G37</f>
        <v>95705</v>
      </c>
      <c r="Q37" s="114"/>
      <c r="R37" s="113"/>
      <c r="S37" s="112"/>
      <c r="T37" s="111"/>
    </row>
    <row r="38" spans="1:20" s="110" customFormat="1" ht="12.75" customHeight="1">
      <c r="A38" s="121" t="s">
        <v>201</v>
      </c>
      <c r="B38" s="119"/>
      <c r="C38" s="120" t="s">
        <v>321</v>
      </c>
      <c r="D38" s="119" t="s">
        <v>307</v>
      </c>
      <c r="E38" s="119" t="s">
        <v>276</v>
      </c>
      <c r="F38" s="116">
        <v>6000</v>
      </c>
      <c r="G38" s="115">
        <f>1590+2000</f>
        <v>3590</v>
      </c>
      <c r="H38" s="115">
        <f>G38</f>
        <v>3590</v>
      </c>
      <c r="I38" s="153"/>
      <c r="J38" s="152"/>
      <c r="K38" s="115"/>
      <c r="L38" s="153"/>
      <c r="M38" s="152"/>
      <c r="N38" s="115"/>
      <c r="O38" s="116">
        <f>H38</f>
        <v>3590</v>
      </c>
      <c r="P38" s="115">
        <f>F38-G38</f>
        <v>2410</v>
      </c>
      <c r="Q38" s="114"/>
      <c r="R38" s="113"/>
      <c r="S38" s="112"/>
      <c r="T38" s="111"/>
    </row>
    <row r="39" spans="1:20" s="110" customFormat="1" ht="12.75" customHeight="1">
      <c r="A39" s="121" t="s">
        <v>201</v>
      </c>
      <c r="B39" s="119"/>
      <c r="C39" s="120" t="s">
        <v>321</v>
      </c>
      <c r="D39" s="119" t="s">
        <v>307</v>
      </c>
      <c r="E39" s="119" t="s">
        <v>282</v>
      </c>
      <c r="F39" s="116">
        <v>10000</v>
      </c>
      <c r="G39" s="115">
        <f>7791.49+669.3</f>
        <v>8460.7899999999991</v>
      </c>
      <c r="H39" s="115">
        <f>G39</f>
        <v>8460.7899999999991</v>
      </c>
      <c r="I39" s="116"/>
      <c r="J39" s="118"/>
      <c r="K39" s="117"/>
      <c r="L39" s="116"/>
      <c r="M39" s="118"/>
      <c r="N39" s="117"/>
      <c r="O39" s="116">
        <f>H39</f>
        <v>8460.7899999999991</v>
      </c>
      <c r="P39" s="115">
        <f>F39-G39</f>
        <v>1539.2100000000009</v>
      </c>
      <c r="Q39" s="114"/>
      <c r="R39" s="113"/>
      <c r="S39" s="112"/>
      <c r="T39" s="111"/>
    </row>
    <row r="40" spans="1:20" s="110" customFormat="1" ht="12.75" customHeight="1">
      <c r="A40" s="121" t="s">
        <v>320</v>
      </c>
      <c r="B40" s="119"/>
      <c r="C40" s="120" t="s">
        <v>230</v>
      </c>
      <c r="D40" s="139" t="s">
        <v>287</v>
      </c>
      <c r="E40" s="119" t="s">
        <v>276</v>
      </c>
      <c r="F40" s="116">
        <f>45000-6000</f>
        <v>39000</v>
      </c>
      <c r="G40" s="115">
        <f>37430+1570</f>
        <v>39000</v>
      </c>
      <c r="H40" s="115">
        <f>G40</f>
        <v>39000</v>
      </c>
      <c r="I40" s="116"/>
      <c r="J40" s="118"/>
      <c r="K40" s="117"/>
      <c r="L40" s="116"/>
      <c r="M40" s="118"/>
      <c r="N40" s="117"/>
      <c r="O40" s="116">
        <f>H40</f>
        <v>39000</v>
      </c>
      <c r="P40" s="115">
        <f>F40-G40</f>
        <v>0</v>
      </c>
      <c r="Q40" s="114"/>
      <c r="R40" s="113"/>
      <c r="S40" s="112"/>
      <c r="T40" s="111"/>
    </row>
    <row r="41" spans="1:20" s="110" customFormat="1" ht="0.75" customHeight="1">
      <c r="A41" s="121" t="s">
        <v>319</v>
      </c>
      <c r="B41" s="119"/>
      <c r="C41" s="120" t="s">
        <v>229</v>
      </c>
      <c r="D41" s="119" t="s">
        <v>298</v>
      </c>
      <c r="E41" s="119" t="s">
        <v>276</v>
      </c>
      <c r="F41" s="116"/>
      <c r="G41" s="115"/>
      <c r="H41" s="115">
        <f>G41</f>
        <v>0</v>
      </c>
      <c r="I41" s="116"/>
      <c r="J41" s="118"/>
      <c r="K41" s="117"/>
      <c r="L41" s="116"/>
      <c r="M41" s="118"/>
      <c r="N41" s="117"/>
      <c r="O41" s="116">
        <f>H41</f>
        <v>0</v>
      </c>
      <c r="P41" s="115">
        <f>F41-G41</f>
        <v>0</v>
      </c>
      <c r="Q41" s="114"/>
      <c r="R41" s="113"/>
      <c r="S41" s="112"/>
      <c r="T41" s="111"/>
    </row>
    <row r="42" spans="1:20" s="110" customFormat="1" ht="12.75" customHeight="1">
      <c r="A42" s="121" t="s">
        <v>319</v>
      </c>
      <c r="B42" s="119"/>
      <c r="C42" s="120" t="s">
        <v>229</v>
      </c>
      <c r="D42" s="119" t="s">
        <v>298</v>
      </c>
      <c r="E42" s="119" t="s">
        <v>282</v>
      </c>
      <c r="F42" s="116">
        <f>40000+20000</f>
        <v>60000</v>
      </c>
      <c r="G42" s="115"/>
      <c r="H42" s="115"/>
      <c r="I42" s="116"/>
      <c r="J42" s="118"/>
      <c r="K42" s="117"/>
      <c r="L42" s="116"/>
      <c r="M42" s="118"/>
      <c r="N42" s="117"/>
      <c r="O42" s="116"/>
      <c r="P42" s="115">
        <f>F42-G42</f>
        <v>60000</v>
      </c>
      <c r="Q42" s="114"/>
      <c r="R42" s="113"/>
      <c r="S42" s="112"/>
      <c r="T42" s="111"/>
    </row>
    <row r="43" spans="1:20" s="110" customFormat="1" ht="24.75" customHeight="1">
      <c r="A43" s="121" t="str">
        <f>A37</f>
        <v>Увеличение стоимости прочих оборотных запасов (материалов)</v>
      </c>
      <c r="B43" s="119"/>
      <c r="C43" s="120" t="s">
        <v>231</v>
      </c>
      <c r="D43" s="119" t="s">
        <v>277</v>
      </c>
      <c r="E43" s="119" t="s">
        <v>318</v>
      </c>
      <c r="F43" s="116">
        <v>200</v>
      </c>
      <c r="G43" s="115">
        <v>200</v>
      </c>
      <c r="H43" s="115">
        <f>G43</f>
        <v>200</v>
      </c>
      <c r="I43" s="116"/>
      <c r="J43" s="118"/>
      <c r="K43" s="117"/>
      <c r="L43" s="116"/>
      <c r="M43" s="118"/>
      <c r="N43" s="117"/>
      <c r="O43" s="116">
        <f>H43</f>
        <v>200</v>
      </c>
      <c r="P43" s="115">
        <f>F43-G43</f>
        <v>0</v>
      </c>
      <c r="Q43" s="114"/>
      <c r="R43" s="113"/>
      <c r="S43" s="112"/>
      <c r="T43" s="111"/>
    </row>
    <row r="44" spans="1:20" s="110" customFormat="1" ht="13.5" customHeight="1">
      <c r="A44" s="121" t="s">
        <v>317</v>
      </c>
      <c r="B44" s="119"/>
      <c r="C44" s="120" t="s">
        <v>259</v>
      </c>
      <c r="D44" s="119" t="s">
        <v>305</v>
      </c>
      <c r="E44" s="119" t="s">
        <v>276</v>
      </c>
      <c r="F44" s="116">
        <f>25923+6977</f>
        <v>32900</v>
      </c>
      <c r="G44" s="116">
        <f>16334+1772</f>
        <v>18106</v>
      </c>
      <c r="H44" s="115">
        <f>G44</f>
        <v>18106</v>
      </c>
      <c r="I44" s="116"/>
      <c r="J44" s="118"/>
      <c r="K44" s="117"/>
      <c r="L44" s="116"/>
      <c r="M44" s="118"/>
      <c r="N44" s="117"/>
      <c r="O44" s="116">
        <f>H44</f>
        <v>18106</v>
      </c>
      <c r="P44" s="115">
        <f>F44-G44</f>
        <v>14794</v>
      </c>
      <c r="Q44" s="114"/>
      <c r="R44" s="113"/>
      <c r="S44" s="112"/>
      <c r="T44" s="111"/>
    </row>
    <row r="45" spans="1:20" s="110" customFormat="1" ht="16.5" customHeight="1">
      <c r="A45" s="133" t="s">
        <v>316</v>
      </c>
      <c r="B45" s="146"/>
      <c r="C45" s="147"/>
      <c r="D45" s="146"/>
      <c r="E45" s="146"/>
      <c r="F45" s="128">
        <f>SUM(F24:F44)</f>
        <v>5858200</v>
      </c>
      <c r="G45" s="128">
        <f>SUM(G24:G44)</f>
        <v>3888277.0999999996</v>
      </c>
      <c r="H45" s="128">
        <f>SUM(H24:H44)</f>
        <v>3888277.0999999996</v>
      </c>
      <c r="I45" s="130"/>
      <c r="J45" s="151"/>
      <c r="K45" s="129"/>
      <c r="L45" s="130"/>
      <c r="M45" s="151"/>
      <c r="N45" s="129"/>
      <c r="O45" s="128">
        <f>SUM(O24:O44)</f>
        <v>3888277.0999999996</v>
      </c>
      <c r="P45" s="127">
        <f>SUM(P24:P44)</f>
        <v>1969922.9000000001</v>
      </c>
      <c r="Q45" s="145"/>
      <c r="R45" s="113"/>
      <c r="S45" s="112"/>
      <c r="T45" s="111"/>
    </row>
    <row r="46" spans="1:20" s="134" customFormat="1" ht="15.75" customHeight="1">
      <c r="A46" s="121" t="s">
        <v>193</v>
      </c>
      <c r="B46" s="150"/>
      <c r="C46" s="120" t="s">
        <v>260</v>
      </c>
      <c r="D46" s="119" t="s">
        <v>305</v>
      </c>
      <c r="E46" s="119" t="s">
        <v>276</v>
      </c>
      <c r="F46" s="116">
        <f>45800+23200</f>
        <v>69000</v>
      </c>
      <c r="G46" s="116">
        <f>52100+5800</f>
        <v>57900</v>
      </c>
      <c r="H46" s="116">
        <f>G46</f>
        <v>57900</v>
      </c>
      <c r="I46" s="116"/>
      <c r="J46" s="118"/>
      <c r="K46" s="117"/>
      <c r="L46" s="116"/>
      <c r="M46" s="118"/>
      <c r="N46" s="117"/>
      <c r="O46" s="116">
        <f>G46</f>
        <v>57900</v>
      </c>
      <c r="P46" s="115">
        <f>F46-G46</f>
        <v>11100</v>
      </c>
      <c r="Q46" s="149"/>
      <c r="R46" s="113"/>
      <c r="S46" s="112"/>
      <c r="T46" s="135"/>
    </row>
    <row r="47" spans="1:20" s="122" customFormat="1" ht="15" customHeight="1">
      <c r="A47" s="133" t="s">
        <v>315</v>
      </c>
      <c r="B47" s="146"/>
      <c r="C47" s="147"/>
      <c r="D47" s="146"/>
      <c r="E47" s="146"/>
      <c r="F47" s="128">
        <f>F46</f>
        <v>69000</v>
      </c>
      <c r="G47" s="128">
        <f>G46</f>
        <v>57900</v>
      </c>
      <c r="H47" s="128">
        <f>H46</f>
        <v>57900</v>
      </c>
      <c r="I47" s="128"/>
      <c r="J47" s="138"/>
      <c r="K47" s="137"/>
      <c r="L47" s="128"/>
      <c r="M47" s="138"/>
      <c r="N47" s="137"/>
      <c r="O47" s="128">
        <f>O46</f>
        <v>57900</v>
      </c>
      <c r="P47" s="127">
        <f>P46</f>
        <v>11100</v>
      </c>
      <c r="Q47" s="145"/>
      <c r="R47" s="125"/>
      <c r="S47" s="124"/>
      <c r="T47" s="123"/>
    </row>
    <row r="48" spans="1:20" s="110" customFormat="1" ht="17.25" customHeight="1">
      <c r="A48" s="121" t="s">
        <v>314</v>
      </c>
      <c r="B48" s="146"/>
      <c r="C48" s="120" t="s">
        <v>253</v>
      </c>
      <c r="D48" s="119" t="s">
        <v>306</v>
      </c>
      <c r="E48" s="119" t="s">
        <v>276</v>
      </c>
      <c r="F48" s="148" t="s">
        <v>313</v>
      </c>
      <c r="G48" s="116">
        <v>516300</v>
      </c>
      <c r="H48" s="116">
        <f>G48</f>
        <v>516300</v>
      </c>
      <c r="I48" s="128"/>
      <c r="J48" s="138"/>
      <c r="K48" s="137"/>
      <c r="L48" s="128"/>
      <c r="M48" s="138"/>
      <c r="N48" s="137"/>
      <c r="O48" s="116">
        <f>H48</f>
        <v>516300</v>
      </c>
      <c r="P48" s="115">
        <f>F48-G48</f>
        <v>0</v>
      </c>
      <c r="Q48" s="145"/>
      <c r="R48" s="113"/>
      <c r="S48" s="112"/>
      <c r="T48" s="111"/>
    </row>
    <row r="49" spans="1:20" s="110" customFormat="1" ht="18" customHeight="1">
      <c r="A49" s="133" t="s">
        <v>312</v>
      </c>
      <c r="B49" s="146"/>
      <c r="C49" s="147"/>
      <c r="D49" s="146"/>
      <c r="E49" s="146"/>
      <c r="F49" s="128" t="str">
        <f>F48</f>
        <v>516300,00</v>
      </c>
      <c r="G49" s="128">
        <f>G48</f>
        <v>516300</v>
      </c>
      <c r="H49" s="128">
        <f>H48</f>
        <v>516300</v>
      </c>
      <c r="I49" s="128"/>
      <c r="J49" s="138"/>
      <c r="K49" s="137"/>
      <c r="L49" s="128"/>
      <c r="M49" s="138"/>
      <c r="N49" s="137"/>
      <c r="O49" s="128">
        <f>O48</f>
        <v>516300</v>
      </c>
      <c r="P49" s="127">
        <f>P48</f>
        <v>0</v>
      </c>
      <c r="Q49" s="145"/>
      <c r="R49" s="113"/>
      <c r="S49" s="112"/>
      <c r="T49" s="111"/>
    </row>
    <row r="50" spans="1:20" s="110" customFormat="1" ht="27" customHeight="1">
      <c r="A50" s="121" t="s">
        <v>202</v>
      </c>
      <c r="B50" s="119"/>
      <c r="C50" s="120" t="s">
        <v>232</v>
      </c>
      <c r="D50" s="119" t="s">
        <v>311</v>
      </c>
      <c r="E50" s="119" t="s">
        <v>276</v>
      </c>
      <c r="F50" s="116">
        <v>1000</v>
      </c>
      <c r="G50" s="116">
        <v>0</v>
      </c>
      <c r="H50" s="116">
        <v>0</v>
      </c>
      <c r="I50" s="116"/>
      <c r="J50" s="118"/>
      <c r="K50" s="117"/>
      <c r="L50" s="116"/>
      <c r="M50" s="118"/>
      <c r="N50" s="117"/>
      <c r="O50" s="116">
        <f>G50</f>
        <v>0</v>
      </c>
      <c r="P50" s="115">
        <v>1000</v>
      </c>
      <c r="Q50" s="113"/>
      <c r="R50" s="113"/>
      <c r="S50" s="112"/>
      <c r="T50" s="111"/>
    </row>
    <row r="51" spans="1:20" s="122" customFormat="1" ht="12.75" customHeight="1">
      <c r="A51" s="133" t="s">
        <v>310</v>
      </c>
      <c r="B51" s="131"/>
      <c r="C51" s="132"/>
      <c r="D51" s="131"/>
      <c r="E51" s="131"/>
      <c r="F51" s="128">
        <f>F50</f>
        <v>1000</v>
      </c>
      <c r="G51" s="116">
        <v>0</v>
      </c>
      <c r="H51" s="116">
        <v>0</v>
      </c>
      <c r="I51" s="128"/>
      <c r="J51" s="138"/>
      <c r="K51" s="137"/>
      <c r="L51" s="128"/>
      <c r="M51" s="138"/>
      <c r="N51" s="137"/>
      <c r="O51" s="128">
        <f>O50</f>
        <v>0</v>
      </c>
      <c r="P51" s="127">
        <f>P50</f>
        <v>1000</v>
      </c>
      <c r="Q51" s="125"/>
      <c r="R51" s="125"/>
      <c r="S51" s="124"/>
      <c r="T51" s="123"/>
    </row>
    <row r="52" spans="1:20" s="110" customFormat="1" ht="12.75" customHeight="1">
      <c r="A52" s="121" t="str">
        <f>A35</f>
        <v>Прочие работы, услуги</v>
      </c>
      <c r="B52" s="119"/>
      <c r="C52" s="120" t="s">
        <v>309</v>
      </c>
      <c r="D52" s="139" t="s">
        <v>287</v>
      </c>
      <c r="E52" s="119" t="s">
        <v>276</v>
      </c>
      <c r="F52" s="116">
        <f>26000+30000</f>
        <v>56000</v>
      </c>
      <c r="G52" s="116">
        <f>20480+24960</f>
        <v>45440</v>
      </c>
      <c r="H52" s="116">
        <f>G52</f>
        <v>45440</v>
      </c>
      <c r="I52" s="116"/>
      <c r="J52" s="118"/>
      <c r="K52" s="117"/>
      <c r="L52" s="116"/>
      <c r="M52" s="118"/>
      <c r="N52" s="117"/>
      <c r="O52" s="116">
        <f>H52</f>
        <v>45440</v>
      </c>
      <c r="P52" s="115">
        <f>F52-G52</f>
        <v>10560</v>
      </c>
      <c r="Q52" s="114"/>
      <c r="R52" s="113"/>
      <c r="S52" s="112"/>
      <c r="T52" s="111"/>
    </row>
    <row r="53" spans="1:20" s="110" customFormat="1" ht="12.75" customHeight="1">
      <c r="A53" s="121" t="str">
        <f>A38</f>
        <v>Налоги, пошлины и сборы</v>
      </c>
      <c r="B53" s="119"/>
      <c r="C53" s="120" t="s">
        <v>308</v>
      </c>
      <c r="D53" s="119" t="s">
        <v>307</v>
      </c>
      <c r="E53" s="119" t="s">
        <v>276</v>
      </c>
      <c r="F53" s="116">
        <v>30000</v>
      </c>
      <c r="G53" s="116">
        <f>9700+4850</f>
        <v>14550</v>
      </c>
      <c r="H53" s="116">
        <f>G53</f>
        <v>14550</v>
      </c>
      <c r="I53" s="116"/>
      <c r="J53" s="118"/>
      <c r="K53" s="117"/>
      <c r="L53" s="116"/>
      <c r="M53" s="118"/>
      <c r="N53" s="117"/>
      <c r="O53" s="116">
        <f>G53</f>
        <v>14550</v>
      </c>
      <c r="P53" s="115">
        <f>F53-G53</f>
        <v>15450</v>
      </c>
      <c r="Q53" s="114"/>
      <c r="R53" s="113"/>
      <c r="S53" s="112"/>
      <c r="T53" s="111"/>
    </row>
    <row r="54" spans="1:20" s="110" customFormat="1" ht="12.75" customHeight="1">
      <c r="A54" s="121" t="str">
        <f>A52</f>
        <v>Прочие работы, услуги</v>
      </c>
      <c r="B54" s="119"/>
      <c r="C54" s="120" t="s">
        <v>233</v>
      </c>
      <c r="D54" s="139" t="s">
        <v>287</v>
      </c>
      <c r="E54" s="119" t="s">
        <v>276</v>
      </c>
      <c r="F54" s="116">
        <v>5000</v>
      </c>
      <c r="G54" s="116">
        <v>0</v>
      </c>
      <c r="H54" s="116">
        <v>0</v>
      </c>
      <c r="I54" s="116"/>
      <c r="J54" s="118"/>
      <c r="K54" s="117"/>
      <c r="L54" s="116"/>
      <c r="M54" s="118"/>
      <c r="N54" s="117"/>
      <c r="O54" s="116">
        <v>0</v>
      </c>
      <c r="P54" s="115">
        <f>F54-G54</f>
        <v>5000</v>
      </c>
      <c r="Q54" s="114"/>
      <c r="R54" s="113"/>
      <c r="S54" s="112"/>
      <c r="T54" s="111"/>
    </row>
    <row r="55" spans="1:20" s="110" customFormat="1" ht="21.75" customHeight="1">
      <c r="A55" s="121" t="str">
        <f>A50</f>
        <v>Иные выплаты текущего характера организациям</v>
      </c>
      <c r="B55" s="119"/>
      <c r="C55" s="120" t="s">
        <v>235</v>
      </c>
      <c r="D55" s="139" t="s">
        <v>306</v>
      </c>
      <c r="E55" s="119" t="s">
        <v>276</v>
      </c>
      <c r="F55" s="116">
        <f>100000+25000</f>
        <v>125000</v>
      </c>
      <c r="G55" s="116">
        <f>20000+50000</f>
        <v>70000</v>
      </c>
      <c r="H55" s="116">
        <f>G55</f>
        <v>70000</v>
      </c>
      <c r="I55" s="116"/>
      <c r="J55" s="118"/>
      <c r="K55" s="117"/>
      <c r="L55" s="116"/>
      <c r="M55" s="118"/>
      <c r="N55" s="117"/>
      <c r="O55" s="116">
        <f>G55</f>
        <v>70000</v>
      </c>
      <c r="P55" s="115">
        <f>F55-G55</f>
        <v>55000</v>
      </c>
      <c r="Q55" s="114"/>
      <c r="R55" s="113"/>
      <c r="S55" s="112"/>
      <c r="T55" s="111"/>
    </row>
    <row r="56" spans="1:20" s="142" customFormat="1" ht="12.75" hidden="1" customHeight="1">
      <c r="A56" s="121" t="s">
        <v>200</v>
      </c>
      <c r="B56" s="119"/>
      <c r="C56" s="120" t="s">
        <v>236</v>
      </c>
      <c r="D56" s="119" t="s">
        <v>305</v>
      </c>
      <c r="E56" s="119" t="s">
        <v>276</v>
      </c>
      <c r="F56" s="116"/>
      <c r="G56" s="116">
        <v>0</v>
      </c>
      <c r="H56" s="116">
        <f>G56</f>
        <v>0</v>
      </c>
      <c r="I56" s="116"/>
      <c r="J56" s="118"/>
      <c r="K56" s="117"/>
      <c r="L56" s="116"/>
      <c r="M56" s="118"/>
      <c r="N56" s="117"/>
      <c r="O56" s="116">
        <f>H56</f>
        <v>0</v>
      </c>
      <c r="P56" s="115">
        <f>F56-G56</f>
        <v>0</v>
      </c>
      <c r="Q56" s="114"/>
      <c r="R56" s="113"/>
      <c r="S56" s="144"/>
      <c r="T56" s="143"/>
    </row>
    <row r="57" spans="1:20" s="142" customFormat="1" ht="12.75" hidden="1" customHeight="1">
      <c r="A57" s="121" t="s">
        <v>193</v>
      </c>
      <c r="B57" s="119"/>
      <c r="C57" s="120" t="s">
        <v>237</v>
      </c>
      <c r="D57" s="119" t="s">
        <v>305</v>
      </c>
      <c r="E57" s="119" t="s">
        <v>276</v>
      </c>
      <c r="F57" s="116">
        <v>0</v>
      </c>
      <c r="G57" s="116"/>
      <c r="H57" s="116">
        <f>G57</f>
        <v>0</v>
      </c>
      <c r="I57" s="116"/>
      <c r="J57" s="118"/>
      <c r="K57" s="117"/>
      <c r="L57" s="116"/>
      <c r="M57" s="118"/>
      <c r="N57" s="117"/>
      <c r="O57" s="116">
        <f>G57</f>
        <v>0</v>
      </c>
      <c r="P57" s="115">
        <f>F57-G57</f>
        <v>0</v>
      </c>
      <c r="Q57" s="114"/>
      <c r="R57" s="113"/>
      <c r="S57" s="144"/>
      <c r="T57" s="143"/>
    </row>
    <row r="58" spans="1:20" s="110" customFormat="1" ht="12.75" customHeight="1">
      <c r="A58" s="121" t="str">
        <f>A54</f>
        <v>Прочие работы, услуги</v>
      </c>
      <c r="B58" s="119"/>
      <c r="C58" s="120" t="s">
        <v>238</v>
      </c>
      <c r="D58" s="139" t="s">
        <v>287</v>
      </c>
      <c r="E58" s="119" t="s">
        <v>276</v>
      </c>
      <c r="F58" s="116">
        <v>5000</v>
      </c>
      <c r="G58" s="116">
        <v>0</v>
      </c>
      <c r="H58" s="116">
        <v>0</v>
      </c>
      <c r="I58" s="116"/>
      <c r="J58" s="118"/>
      <c r="K58" s="117"/>
      <c r="L58" s="116"/>
      <c r="M58" s="118"/>
      <c r="N58" s="117"/>
      <c r="O58" s="116">
        <v>0</v>
      </c>
      <c r="P58" s="115">
        <f>F58-G58</f>
        <v>5000</v>
      </c>
      <c r="Q58" s="114"/>
      <c r="R58" s="113"/>
      <c r="S58" s="112"/>
      <c r="T58" s="111"/>
    </row>
    <row r="59" spans="1:20" s="122" customFormat="1" ht="12.75" customHeight="1">
      <c r="A59" s="133" t="s">
        <v>304</v>
      </c>
      <c r="B59" s="131"/>
      <c r="C59" s="132"/>
      <c r="D59" s="131"/>
      <c r="E59" s="131"/>
      <c r="F59" s="128">
        <f>SUM(F52:F58)</f>
        <v>221000</v>
      </c>
      <c r="G59" s="128">
        <f>SUM(G52:G58)</f>
        <v>129990</v>
      </c>
      <c r="H59" s="128">
        <f>SUM(H52:H58)</f>
        <v>129990</v>
      </c>
      <c r="I59" s="130"/>
      <c r="J59" s="129"/>
      <c r="K59" s="128">
        <f>SUM(K52:K58)</f>
        <v>0</v>
      </c>
      <c r="L59" s="130"/>
      <c r="M59" s="129"/>
      <c r="N59" s="128">
        <f>SUM(N52:N58)</f>
        <v>0</v>
      </c>
      <c r="O59" s="128">
        <f>SUM(O52:O58)</f>
        <v>129990</v>
      </c>
      <c r="P59" s="127">
        <f>SUM(P52:P58)</f>
        <v>91010</v>
      </c>
      <c r="Q59" s="126"/>
      <c r="R59" s="125"/>
      <c r="S59" s="124"/>
      <c r="T59" s="123"/>
    </row>
    <row r="60" spans="1:20" s="110" customFormat="1" ht="12.75" customHeight="1">
      <c r="A60" s="121" t="str">
        <f>A24</f>
        <v>Заработная плата</v>
      </c>
      <c r="B60" s="119"/>
      <c r="C60" s="120" t="s">
        <v>239</v>
      </c>
      <c r="D60" s="119" t="s">
        <v>303</v>
      </c>
      <c r="E60" s="119" t="s">
        <v>300</v>
      </c>
      <c r="F60" s="116">
        <v>174500</v>
      </c>
      <c r="G60" s="116">
        <f>107349.72+13556+3467.81+6700.57</f>
        <v>131074.1</v>
      </c>
      <c r="H60" s="116">
        <f>G60</f>
        <v>131074.1</v>
      </c>
      <c r="I60" s="116"/>
      <c r="J60" s="118"/>
      <c r="K60" s="117"/>
      <c r="L60" s="116"/>
      <c r="M60" s="118"/>
      <c r="N60" s="117"/>
      <c r="O60" s="116">
        <f>H60</f>
        <v>131074.1</v>
      </c>
      <c r="P60" s="115">
        <f>F60-G60</f>
        <v>43425.899999999994</v>
      </c>
      <c r="Q60" s="114"/>
      <c r="R60" s="113"/>
      <c r="S60" s="112"/>
      <c r="T60" s="111"/>
    </row>
    <row r="61" spans="1:20" s="110" customFormat="1" ht="12.75" customHeight="1">
      <c r="A61" s="121" t="str">
        <f>A29</f>
        <v>Начисления на выплаты по оплате труда</v>
      </c>
      <c r="B61" s="119"/>
      <c r="C61" s="120" t="s">
        <v>240</v>
      </c>
      <c r="D61" s="119" t="s">
        <v>302</v>
      </c>
      <c r="E61" s="119" t="s">
        <v>300</v>
      </c>
      <c r="F61" s="116">
        <v>55700</v>
      </c>
      <c r="G61" s="116">
        <f>28832.79+6242.28+794.68+451.88+31.16</f>
        <v>36352.79</v>
      </c>
      <c r="H61" s="116">
        <f>G61</f>
        <v>36352.79</v>
      </c>
      <c r="I61" s="116"/>
      <c r="J61" s="118"/>
      <c r="K61" s="117"/>
      <c r="L61" s="116"/>
      <c r="M61" s="118"/>
      <c r="N61" s="117"/>
      <c r="O61" s="116">
        <f>H61</f>
        <v>36352.79</v>
      </c>
      <c r="P61" s="115">
        <f>F61-G61</f>
        <v>19347.21</v>
      </c>
      <c r="Q61" s="114"/>
      <c r="R61" s="113"/>
      <c r="S61" s="112"/>
      <c r="T61" s="111"/>
    </row>
    <row r="62" spans="1:20" s="110" customFormat="1" ht="26.25" customHeight="1">
      <c r="A62" s="121" t="s">
        <v>301</v>
      </c>
      <c r="B62" s="119"/>
      <c r="C62" s="120" t="s">
        <v>241</v>
      </c>
      <c r="D62" s="119" t="s">
        <v>277</v>
      </c>
      <c r="E62" s="119" t="s">
        <v>300</v>
      </c>
      <c r="F62" s="116">
        <v>10000</v>
      </c>
      <c r="G62" s="116">
        <v>9500</v>
      </c>
      <c r="H62" s="116">
        <f>G62</f>
        <v>9500</v>
      </c>
      <c r="I62" s="116"/>
      <c r="J62" s="118"/>
      <c r="K62" s="118"/>
      <c r="L62" s="116"/>
      <c r="M62" s="118"/>
      <c r="N62" s="118"/>
      <c r="O62" s="116">
        <f>H62</f>
        <v>9500</v>
      </c>
      <c r="P62" s="115">
        <f>F62-G62</f>
        <v>500</v>
      </c>
      <c r="Q62" s="114"/>
      <c r="R62" s="113"/>
      <c r="S62" s="112"/>
      <c r="T62" s="111"/>
    </row>
    <row r="63" spans="1:20" s="122" customFormat="1" ht="13.5" customHeight="1">
      <c r="A63" s="133" t="s">
        <v>299</v>
      </c>
      <c r="B63" s="131"/>
      <c r="C63" s="132"/>
      <c r="D63" s="131"/>
      <c r="E63" s="131"/>
      <c r="F63" s="128">
        <f>F60+F61+F62</f>
        <v>240200</v>
      </c>
      <c r="G63" s="128">
        <f>G60+G61+G62</f>
        <v>176926.89</v>
      </c>
      <c r="H63" s="128">
        <f>H60+H61+H62</f>
        <v>176926.89</v>
      </c>
      <c r="I63" s="130"/>
      <c r="J63" s="129"/>
      <c r="K63" s="128">
        <f>K60+K61</f>
        <v>0</v>
      </c>
      <c r="L63" s="130"/>
      <c r="M63" s="129"/>
      <c r="N63" s="128">
        <f>N60+N61</f>
        <v>0</v>
      </c>
      <c r="O63" s="128">
        <f>O60+O61+O62</f>
        <v>176926.89</v>
      </c>
      <c r="P63" s="127">
        <f>P60+P61+P62</f>
        <v>63273.109999999993</v>
      </c>
      <c r="Q63" s="126"/>
      <c r="R63" s="125"/>
      <c r="S63" s="124"/>
      <c r="T63" s="123"/>
    </row>
    <row r="64" spans="1:20" s="110" customFormat="1" ht="12.75" customHeight="1">
      <c r="A64" s="121" t="str">
        <f>A35</f>
        <v>Прочие работы, услуги</v>
      </c>
      <c r="B64" s="119"/>
      <c r="C64" s="120" t="s">
        <v>261</v>
      </c>
      <c r="D64" s="139" t="s">
        <v>287</v>
      </c>
      <c r="E64" s="119" t="s">
        <v>276</v>
      </c>
      <c r="F64" s="116">
        <v>3000</v>
      </c>
      <c r="G64" s="116"/>
      <c r="H64" s="116">
        <f>G64</f>
        <v>0</v>
      </c>
      <c r="I64" s="116"/>
      <c r="J64" s="118"/>
      <c r="K64" s="117"/>
      <c r="L64" s="116"/>
      <c r="M64" s="118"/>
      <c r="N64" s="117"/>
      <c r="O64" s="116">
        <f>G64</f>
        <v>0</v>
      </c>
      <c r="P64" s="115">
        <f>F64-G64</f>
        <v>3000</v>
      </c>
      <c r="Q64" s="114"/>
      <c r="R64" s="113"/>
      <c r="S64" s="112"/>
      <c r="T64" s="111"/>
    </row>
    <row r="65" spans="1:20" s="110" customFormat="1" ht="12.75" customHeight="1">
      <c r="A65" s="121" t="s">
        <v>192</v>
      </c>
      <c r="B65" s="119"/>
      <c r="C65" s="120" t="s">
        <v>261</v>
      </c>
      <c r="D65" s="139" t="s">
        <v>277</v>
      </c>
      <c r="E65" s="119" t="s">
        <v>276</v>
      </c>
      <c r="F65" s="116">
        <v>7000</v>
      </c>
      <c r="G65" s="116"/>
      <c r="H65" s="116"/>
      <c r="I65" s="116"/>
      <c r="J65" s="118"/>
      <c r="K65" s="117"/>
      <c r="L65" s="116"/>
      <c r="M65" s="118"/>
      <c r="N65" s="117"/>
      <c r="O65" s="116">
        <f>G65</f>
        <v>0</v>
      </c>
      <c r="P65" s="115">
        <f>F65-G65</f>
        <v>7000</v>
      </c>
      <c r="Q65" s="114"/>
      <c r="R65" s="113"/>
      <c r="S65" s="112"/>
      <c r="T65" s="111"/>
    </row>
    <row r="66" spans="1:20" s="110" customFormat="1" ht="12.75" customHeight="1">
      <c r="A66" s="121" t="e">
        <f>#REF!</f>
        <v>#REF!</v>
      </c>
      <c r="B66" s="119"/>
      <c r="C66" s="120" t="s">
        <v>266</v>
      </c>
      <c r="D66" s="119" t="s">
        <v>298</v>
      </c>
      <c r="E66" s="119" t="s">
        <v>297</v>
      </c>
      <c r="F66" s="116">
        <v>336700</v>
      </c>
      <c r="G66" s="116">
        <v>333300</v>
      </c>
      <c r="H66" s="116">
        <f>G66</f>
        <v>333300</v>
      </c>
      <c r="I66" s="116"/>
      <c r="J66" s="118"/>
      <c r="K66" s="118"/>
      <c r="L66" s="116"/>
      <c r="M66" s="118"/>
      <c r="N66" s="118"/>
      <c r="O66" s="116">
        <f>G66</f>
        <v>333300</v>
      </c>
      <c r="P66" s="115">
        <f>F66-G66</f>
        <v>3400</v>
      </c>
      <c r="Q66" s="114"/>
      <c r="R66" s="113"/>
      <c r="S66" s="112"/>
      <c r="T66" s="111"/>
    </row>
    <row r="67" spans="1:20" s="122" customFormat="1" ht="12.75" customHeight="1">
      <c r="A67" s="133" t="s">
        <v>296</v>
      </c>
      <c r="B67" s="131"/>
      <c r="C67" s="132"/>
      <c r="D67" s="131"/>
      <c r="E67" s="131"/>
      <c r="F67" s="128">
        <f>SUM(F64:F66)</f>
        <v>346700</v>
      </c>
      <c r="G67" s="128">
        <f>SUM(G64:G66)</f>
        <v>333300</v>
      </c>
      <c r="H67" s="128">
        <f>SUM(H64:H66)</f>
        <v>333300</v>
      </c>
      <c r="I67" s="130"/>
      <c r="J67" s="129"/>
      <c r="K67" s="128">
        <f>SUM(K64:K65)</f>
        <v>0</v>
      </c>
      <c r="L67" s="130"/>
      <c r="M67" s="129"/>
      <c r="N67" s="128">
        <f>SUM(N64:N65)</f>
        <v>0</v>
      </c>
      <c r="O67" s="128">
        <f>SUM(O64:O66)</f>
        <v>333300</v>
      </c>
      <c r="P67" s="127">
        <f>SUM(P64:P66)</f>
        <v>13400</v>
      </c>
      <c r="Q67" s="126"/>
      <c r="R67" s="125"/>
      <c r="S67" s="124"/>
      <c r="T67" s="123"/>
    </row>
    <row r="68" spans="1:20" s="110" customFormat="1" ht="15.75" customHeight="1">
      <c r="A68" s="121" t="str">
        <f>A33</f>
        <v>Работы, услуги по содержанию имущества</v>
      </c>
      <c r="B68" s="119"/>
      <c r="C68" s="120" t="s">
        <v>242</v>
      </c>
      <c r="D68" s="119" t="s">
        <v>289</v>
      </c>
      <c r="E68" s="119" t="s">
        <v>295</v>
      </c>
      <c r="F68" s="116">
        <v>542100</v>
      </c>
      <c r="G68" s="116">
        <f>271050+148950</f>
        <v>420000</v>
      </c>
      <c r="H68" s="116">
        <f>G68</f>
        <v>420000</v>
      </c>
      <c r="I68" s="116"/>
      <c r="J68" s="118"/>
      <c r="K68" s="117"/>
      <c r="L68" s="116"/>
      <c r="M68" s="118"/>
      <c r="N68" s="117"/>
      <c r="O68" s="116">
        <f>G68</f>
        <v>420000</v>
      </c>
      <c r="P68" s="115">
        <f>F68-G68</f>
        <v>122100</v>
      </c>
      <c r="Q68" s="114"/>
      <c r="R68" s="113"/>
      <c r="S68" s="112"/>
      <c r="T68" s="111"/>
    </row>
    <row r="69" spans="1:20" s="122" customFormat="1" ht="12.75" customHeight="1">
      <c r="A69" s="133" t="s">
        <v>294</v>
      </c>
      <c r="B69" s="131"/>
      <c r="C69" s="132"/>
      <c r="D69" s="131"/>
      <c r="E69" s="131"/>
      <c r="F69" s="128">
        <f>F68</f>
        <v>542100</v>
      </c>
      <c r="G69" s="128">
        <f>G68</f>
        <v>420000</v>
      </c>
      <c r="H69" s="128">
        <f>H68</f>
        <v>420000</v>
      </c>
      <c r="I69" s="128"/>
      <c r="J69" s="138"/>
      <c r="K69" s="137"/>
      <c r="L69" s="128"/>
      <c r="M69" s="138"/>
      <c r="N69" s="137"/>
      <c r="O69" s="128">
        <f>O68</f>
        <v>420000</v>
      </c>
      <c r="P69" s="127">
        <f>P68</f>
        <v>122100</v>
      </c>
      <c r="Q69" s="126"/>
      <c r="R69" s="125"/>
      <c r="S69" s="124"/>
      <c r="T69" s="123"/>
    </row>
    <row r="70" spans="1:20" s="110" customFormat="1" ht="24" customHeight="1">
      <c r="A70" s="121" t="s">
        <v>191</v>
      </c>
      <c r="B70" s="119"/>
      <c r="C70" s="120" t="s">
        <v>234</v>
      </c>
      <c r="D70" s="119" t="s">
        <v>287</v>
      </c>
      <c r="E70" s="119" t="s">
        <v>276</v>
      </c>
      <c r="F70" s="116">
        <f>100000-82000</f>
        <v>18000</v>
      </c>
      <c r="G70" s="116"/>
      <c r="H70" s="116">
        <f>G70</f>
        <v>0</v>
      </c>
      <c r="I70" s="116"/>
      <c r="J70" s="118"/>
      <c r="K70" s="117"/>
      <c r="L70" s="116"/>
      <c r="M70" s="118"/>
      <c r="N70" s="117"/>
      <c r="O70" s="116">
        <f>G70</f>
        <v>0</v>
      </c>
      <c r="P70" s="115">
        <f>F70-G70</f>
        <v>18000</v>
      </c>
      <c r="Q70" s="114"/>
      <c r="R70" s="113"/>
      <c r="S70" s="112"/>
      <c r="T70" s="111"/>
    </row>
    <row r="71" spans="1:20" s="122" customFormat="1" ht="12.75" customHeight="1">
      <c r="A71" s="133" t="s">
        <v>293</v>
      </c>
      <c r="B71" s="131"/>
      <c r="C71" s="132"/>
      <c r="D71" s="131"/>
      <c r="E71" s="131"/>
      <c r="F71" s="128">
        <f>F70</f>
        <v>18000</v>
      </c>
      <c r="G71" s="116"/>
      <c r="H71" s="116">
        <f>G71</f>
        <v>0</v>
      </c>
      <c r="I71" s="128"/>
      <c r="J71" s="138"/>
      <c r="K71" s="137"/>
      <c r="L71" s="128"/>
      <c r="M71" s="138"/>
      <c r="N71" s="137"/>
      <c r="O71" s="116">
        <f>G71</f>
        <v>0</v>
      </c>
      <c r="P71" s="127">
        <f>P70</f>
        <v>18000</v>
      </c>
      <c r="Q71" s="126"/>
      <c r="R71" s="125"/>
      <c r="S71" s="124"/>
      <c r="T71" s="123"/>
    </row>
    <row r="72" spans="1:20" s="110" customFormat="1" ht="17.25" customHeight="1">
      <c r="A72" s="121" t="s">
        <v>191</v>
      </c>
      <c r="B72" s="119"/>
      <c r="C72" s="120" t="s">
        <v>262</v>
      </c>
      <c r="D72" s="119" t="s">
        <v>287</v>
      </c>
      <c r="E72" s="119" t="s">
        <v>276</v>
      </c>
      <c r="F72" s="116">
        <v>82000</v>
      </c>
      <c r="G72" s="116">
        <v>82000</v>
      </c>
      <c r="H72" s="116">
        <f>G72</f>
        <v>82000</v>
      </c>
      <c r="I72" s="116"/>
      <c r="J72" s="118"/>
      <c r="K72" s="117"/>
      <c r="L72" s="116"/>
      <c r="M72" s="118"/>
      <c r="N72" s="117"/>
      <c r="O72" s="116">
        <f>G72</f>
        <v>82000</v>
      </c>
      <c r="P72" s="115">
        <f>F72-G72</f>
        <v>0</v>
      </c>
      <c r="Q72" s="114"/>
      <c r="R72" s="113"/>
      <c r="S72" s="112"/>
      <c r="T72" s="111"/>
    </row>
    <row r="73" spans="1:20" s="122" customFormat="1" ht="14.25" customHeight="1">
      <c r="A73" s="133" t="s">
        <v>292</v>
      </c>
      <c r="B73" s="131"/>
      <c r="C73" s="132"/>
      <c r="D73" s="131"/>
      <c r="E73" s="131"/>
      <c r="F73" s="128">
        <f>F72</f>
        <v>82000</v>
      </c>
      <c r="G73" s="128">
        <f>G72</f>
        <v>82000</v>
      </c>
      <c r="H73" s="128">
        <f>G73</f>
        <v>82000</v>
      </c>
      <c r="I73" s="128"/>
      <c r="J73" s="138"/>
      <c r="K73" s="137"/>
      <c r="L73" s="128"/>
      <c r="M73" s="138"/>
      <c r="N73" s="137"/>
      <c r="O73" s="128">
        <f>G73</f>
        <v>82000</v>
      </c>
      <c r="P73" s="127">
        <f>P72</f>
        <v>0</v>
      </c>
      <c r="Q73" s="126"/>
      <c r="R73" s="125"/>
      <c r="S73" s="124"/>
      <c r="T73" s="123"/>
    </row>
    <row r="74" spans="1:20" s="110" customFormat="1" ht="12.75" customHeight="1">
      <c r="A74" s="121" t="str">
        <f>A68</f>
        <v>Работы, услуги по содержанию имущества</v>
      </c>
      <c r="B74" s="119"/>
      <c r="C74" s="120" t="s">
        <v>243</v>
      </c>
      <c r="D74" s="119" t="s">
        <v>289</v>
      </c>
      <c r="E74" s="119" t="s">
        <v>276</v>
      </c>
      <c r="F74" s="116">
        <v>10000</v>
      </c>
      <c r="G74" s="116">
        <v>9492.25</v>
      </c>
      <c r="H74" s="116">
        <f>G74</f>
        <v>9492.25</v>
      </c>
      <c r="I74" s="116"/>
      <c r="J74" s="118"/>
      <c r="K74" s="117"/>
      <c r="L74" s="116"/>
      <c r="M74" s="118"/>
      <c r="N74" s="117"/>
      <c r="O74" s="116">
        <f>H74</f>
        <v>9492.25</v>
      </c>
      <c r="P74" s="115">
        <f>F74-G74</f>
        <v>507.75</v>
      </c>
      <c r="Q74" s="114"/>
      <c r="R74" s="113"/>
      <c r="S74" s="112"/>
      <c r="T74" s="111"/>
    </row>
    <row r="75" spans="1:20" s="110" customFormat="1" ht="24.75" customHeight="1">
      <c r="A75" s="121" t="str">
        <f>A37</f>
        <v>Увеличение стоимости прочих оборотных запасов (материалов)</v>
      </c>
      <c r="B75" s="119"/>
      <c r="C75" s="120" t="s">
        <v>254</v>
      </c>
      <c r="D75" s="119" t="s">
        <v>277</v>
      </c>
      <c r="E75" s="119" t="s">
        <v>276</v>
      </c>
      <c r="F75" s="116">
        <v>1000</v>
      </c>
      <c r="G75" s="116">
        <v>0</v>
      </c>
      <c r="H75" s="116">
        <f>G75</f>
        <v>0</v>
      </c>
      <c r="I75" s="116"/>
      <c r="J75" s="118"/>
      <c r="K75" s="117"/>
      <c r="L75" s="116"/>
      <c r="M75" s="118"/>
      <c r="N75" s="117"/>
      <c r="O75" s="116">
        <f>H75</f>
        <v>0</v>
      </c>
      <c r="P75" s="115">
        <f>F75-G75</f>
        <v>1000</v>
      </c>
      <c r="Q75" s="114"/>
      <c r="R75" s="113"/>
      <c r="S75" s="112"/>
      <c r="T75" s="111"/>
    </row>
    <row r="76" spans="1:20" s="110" customFormat="1" ht="12.75" customHeight="1">
      <c r="A76" s="121" t="s">
        <v>190</v>
      </c>
      <c r="B76" s="119"/>
      <c r="C76" s="120" t="s">
        <v>255</v>
      </c>
      <c r="D76" s="119" t="s">
        <v>291</v>
      </c>
      <c r="E76" s="119" t="s">
        <v>276</v>
      </c>
      <c r="F76" s="116">
        <v>762800</v>
      </c>
      <c r="G76" s="116">
        <f>477371.19+31302.18+21228.49+18158.52</f>
        <v>548060.38</v>
      </c>
      <c r="H76" s="116">
        <f>G76</f>
        <v>548060.38</v>
      </c>
      <c r="I76" s="116"/>
      <c r="J76" s="118"/>
      <c r="K76" s="117"/>
      <c r="L76" s="116"/>
      <c r="M76" s="118"/>
      <c r="N76" s="117"/>
      <c r="O76" s="116">
        <f>H76</f>
        <v>548060.38</v>
      </c>
      <c r="P76" s="115">
        <f>F76-G76</f>
        <v>214739.62</v>
      </c>
      <c r="Q76" s="114"/>
      <c r="R76" s="113"/>
      <c r="S76" s="112"/>
      <c r="T76" s="111"/>
    </row>
    <row r="77" spans="1:20" s="110" customFormat="1" ht="12.75" customHeight="1">
      <c r="A77" s="121" t="str">
        <f>A74</f>
        <v>Работы, услуги по содержанию имущества</v>
      </c>
      <c r="B77" s="119"/>
      <c r="C77" s="120" t="s">
        <v>244</v>
      </c>
      <c r="D77" s="119" t="s">
        <v>289</v>
      </c>
      <c r="E77" s="119" t="s">
        <v>276</v>
      </c>
      <c r="F77" s="116">
        <v>400000</v>
      </c>
      <c r="G77" s="116">
        <f>149701+75081</f>
        <v>224782</v>
      </c>
      <c r="H77" s="116">
        <f>G77</f>
        <v>224782</v>
      </c>
      <c r="I77" s="141"/>
      <c r="J77" s="140"/>
      <c r="K77" s="117"/>
      <c r="L77" s="116"/>
      <c r="M77" s="118"/>
      <c r="N77" s="117"/>
      <c r="O77" s="116">
        <f>H77</f>
        <v>224782</v>
      </c>
      <c r="P77" s="115">
        <f>F77-G77</f>
        <v>175218</v>
      </c>
      <c r="Q77" s="114"/>
      <c r="R77" s="113"/>
      <c r="S77" s="112"/>
      <c r="T77" s="111"/>
    </row>
    <row r="78" spans="1:20" s="110" customFormat="1" ht="12.75" customHeight="1">
      <c r="A78" s="121" t="str">
        <f>A77</f>
        <v>Работы, услуги по содержанию имущества</v>
      </c>
      <c r="B78" s="119"/>
      <c r="C78" s="120" t="s">
        <v>245</v>
      </c>
      <c r="D78" s="119" t="s">
        <v>289</v>
      </c>
      <c r="E78" s="119" t="s">
        <v>276</v>
      </c>
      <c r="F78" s="116">
        <v>20000</v>
      </c>
      <c r="G78" s="116">
        <v>8423.81</v>
      </c>
      <c r="H78" s="116">
        <f>G78</f>
        <v>8423.81</v>
      </c>
      <c r="I78" s="141"/>
      <c r="J78" s="140"/>
      <c r="K78" s="117"/>
      <c r="L78" s="116"/>
      <c r="M78" s="118"/>
      <c r="N78" s="117"/>
      <c r="O78" s="116">
        <f>H78</f>
        <v>8423.81</v>
      </c>
      <c r="P78" s="115">
        <f>F78-G78</f>
        <v>11576.19</v>
      </c>
      <c r="Q78" s="114"/>
      <c r="R78" s="113"/>
      <c r="S78" s="112"/>
      <c r="T78" s="111"/>
    </row>
    <row r="79" spans="1:20" s="110" customFormat="1" ht="27.75" customHeight="1">
      <c r="A79" s="121" t="str">
        <f>A75</f>
        <v>Увеличение стоимости прочих оборотных запасов (материалов)</v>
      </c>
      <c r="B79" s="119"/>
      <c r="C79" s="120" t="s">
        <v>246</v>
      </c>
      <c r="D79" s="119" t="s">
        <v>277</v>
      </c>
      <c r="E79" s="119" t="s">
        <v>276</v>
      </c>
      <c r="F79" s="116">
        <v>55000</v>
      </c>
      <c r="G79" s="116">
        <f>19800+9900</f>
        <v>29700</v>
      </c>
      <c r="H79" s="116">
        <f>G79</f>
        <v>29700</v>
      </c>
      <c r="I79" s="116"/>
      <c r="J79" s="118"/>
      <c r="K79" s="117"/>
      <c r="L79" s="116"/>
      <c r="M79" s="118"/>
      <c r="N79" s="117"/>
      <c r="O79" s="116">
        <f>H79</f>
        <v>29700</v>
      </c>
      <c r="P79" s="115">
        <f>F79-G79</f>
        <v>25300</v>
      </c>
      <c r="Q79" s="114"/>
      <c r="R79" s="113"/>
      <c r="S79" s="112"/>
      <c r="T79" s="111"/>
    </row>
    <row r="80" spans="1:20" s="110" customFormat="1" ht="12.75" customHeight="1">
      <c r="A80" s="121" t="str">
        <f>A77</f>
        <v>Работы, услуги по содержанию имущества</v>
      </c>
      <c r="B80" s="119"/>
      <c r="C80" s="120" t="s">
        <v>247</v>
      </c>
      <c r="D80" s="119" t="s">
        <v>289</v>
      </c>
      <c r="E80" s="119" t="s">
        <v>276</v>
      </c>
      <c r="F80" s="116">
        <v>5000</v>
      </c>
      <c r="G80" s="116">
        <v>0</v>
      </c>
      <c r="H80" s="116">
        <f>G80</f>
        <v>0</v>
      </c>
      <c r="I80" s="116"/>
      <c r="J80" s="118"/>
      <c r="K80" s="117"/>
      <c r="L80" s="116"/>
      <c r="M80" s="118"/>
      <c r="N80" s="117"/>
      <c r="O80" s="116">
        <f>H80</f>
        <v>0</v>
      </c>
      <c r="P80" s="115">
        <f>F80-G80</f>
        <v>5000</v>
      </c>
      <c r="Q80" s="114"/>
      <c r="R80" s="113"/>
      <c r="S80" s="112"/>
      <c r="T80" s="111"/>
    </row>
    <row r="81" spans="1:20" s="110" customFormat="1" ht="12.75" customHeight="1">
      <c r="A81" s="121" t="str">
        <f>A80</f>
        <v>Работы, услуги по содержанию имущества</v>
      </c>
      <c r="B81" s="119"/>
      <c r="C81" s="120" t="s">
        <v>248</v>
      </c>
      <c r="D81" s="119" t="s">
        <v>289</v>
      </c>
      <c r="E81" s="119" t="s">
        <v>276</v>
      </c>
      <c r="F81" s="116">
        <f>775900</f>
        <v>775900</v>
      </c>
      <c r="G81" s="116">
        <f>414265.89+15680+3180+7730.66+1792.11+1000+1000+897+1517.34+351.75+4000+2000+2000+44700+7277+12314.94+2854.83</f>
        <v>522561.52</v>
      </c>
      <c r="H81" s="116">
        <f>G81</f>
        <v>522561.52</v>
      </c>
      <c r="I81" s="116"/>
      <c r="J81" s="118"/>
      <c r="K81" s="117"/>
      <c r="L81" s="116"/>
      <c r="M81" s="118"/>
      <c r="N81" s="117"/>
      <c r="O81" s="116">
        <f>H81</f>
        <v>522561.52</v>
      </c>
      <c r="P81" s="115">
        <f>F81-G81</f>
        <v>253338.47999999998</v>
      </c>
      <c r="Q81" s="114"/>
      <c r="R81" s="113"/>
      <c r="S81" s="112"/>
      <c r="T81" s="111"/>
    </row>
    <row r="82" spans="1:20" s="110" customFormat="1" ht="12.75" customHeight="1">
      <c r="A82" s="121" t="str">
        <f>A81</f>
        <v>Работы, услуги по содержанию имущества</v>
      </c>
      <c r="B82" s="119"/>
      <c r="C82" s="120" t="s">
        <v>248</v>
      </c>
      <c r="D82" s="119" t="s">
        <v>289</v>
      </c>
      <c r="E82" s="119" t="s">
        <v>282</v>
      </c>
      <c r="F82" s="116">
        <f>581400</f>
        <v>581400</v>
      </c>
      <c r="G82" s="116">
        <f>43500+251095.52</f>
        <v>294595.52</v>
      </c>
      <c r="H82" s="116">
        <f>G82</f>
        <v>294595.52</v>
      </c>
      <c r="I82" s="116"/>
      <c r="J82" s="118"/>
      <c r="K82" s="117"/>
      <c r="L82" s="116"/>
      <c r="M82" s="118"/>
      <c r="N82" s="117"/>
      <c r="O82" s="116">
        <f>H82</f>
        <v>294595.52</v>
      </c>
      <c r="P82" s="115">
        <f>F82-G82</f>
        <v>286804.47999999998</v>
      </c>
      <c r="Q82" s="114"/>
      <c r="R82" s="113"/>
      <c r="S82" s="112"/>
      <c r="T82" s="111"/>
    </row>
    <row r="83" spans="1:20" s="110" customFormat="1" ht="12.75" customHeight="1">
      <c r="A83" s="121" t="s">
        <v>192</v>
      </c>
      <c r="B83" s="119"/>
      <c r="C83" s="120" t="s">
        <v>248</v>
      </c>
      <c r="D83" s="119" t="s">
        <v>287</v>
      </c>
      <c r="E83" s="119" t="s">
        <v>276</v>
      </c>
      <c r="F83" s="116">
        <v>36000</v>
      </c>
      <c r="G83" s="116">
        <v>17760</v>
      </c>
      <c r="H83" s="116">
        <f>G83</f>
        <v>17760</v>
      </c>
      <c r="I83" s="116"/>
      <c r="J83" s="118"/>
      <c r="K83" s="117"/>
      <c r="L83" s="116"/>
      <c r="M83" s="118"/>
      <c r="N83" s="117"/>
      <c r="O83" s="116">
        <f>H83</f>
        <v>17760</v>
      </c>
      <c r="P83" s="115">
        <f>F83-G83</f>
        <v>18240</v>
      </c>
      <c r="Q83" s="114"/>
      <c r="R83" s="113"/>
      <c r="S83" s="112"/>
      <c r="T83" s="111"/>
    </row>
    <row r="84" spans="1:20" s="110" customFormat="1" ht="23.25" customHeight="1">
      <c r="A84" s="121" t="str">
        <f>A79</f>
        <v>Увеличение стоимости прочих оборотных запасов (материалов)</v>
      </c>
      <c r="B84" s="119"/>
      <c r="C84" s="120" t="s">
        <v>248</v>
      </c>
      <c r="D84" s="119" t="s">
        <v>277</v>
      </c>
      <c r="E84" s="119" t="s">
        <v>276</v>
      </c>
      <c r="F84" s="116">
        <v>250000</v>
      </c>
      <c r="G84" s="116">
        <f>14990+58130</f>
        <v>73120</v>
      </c>
      <c r="H84" s="116">
        <f>G84</f>
        <v>73120</v>
      </c>
      <c r="I84" s="116"/>
      <c r="J84" s="118"/>
      <c r="K84" s="117"/>
      <c r="L84" s="116"/>
      <c r="M84" s="118"/>
      <c r="N84" s="117"/>
      <c r="O84" s="116">
        <f>H84</f>
        <v>73120</v>
      </c>
      <c r="P84" s="115">
        <f>F84-G84</f>
        <v>176880</v>
      </c>
      <c r="Q84" s="114"/>
      <c r="R84" s="113"/>
      <c r="S84" s="112"/>
      <c r="T84" s="111"/>
    </row>
    <row r="85" spans="1:20" s="110" customFormat="1" ht="12.75" customHeight="1">
      <c r="A85" s="121" t="str">
        <f>A81</f>
        <v>Работы, услуги по содержанию имущества</v>
      </c>
      <c r="B85" s="119"/>
      <c r="C85" s="120" t="s">
        <v>249</v>
      </c>
      <c r="D85" s="119" t="s">
        <v>289</v>
      </c>
      <c r="E85" s="119" t="s">
        <v>276</v>
      </c>
      <c r="F85" s="116">
        <f>50000-30000</f>
        <v>20000</v>
      </c>
      <c r="G85" s="116">
        <f>6656.3+6656.3</f>
        <v>13312.6</v>
      </c>
      <c r="H85" s="116">
        <f>G85</f>
        <v>13312.6</v>
      </c>
      <c r="I85" s="116"/>
      <c r="J85" s="118"/>
      <c r="K85" s="117"/>
      <c r="L85" s="116"/>
      <c r="M85" s="118"/>
      <c r="N85" s="117"/>
      <c r="O85" s="116">
        <f>H85</f>
        <v>13312.6</v>
      </c>
      <c r="P85" s="115">
        <f>F85-G85</f>
        <v>6687.4</v>
      </c>
      <c r="Q85" s="114"/>
      <c r="R85" s="113"/>
      <c r="S85" s="112"/>
      <c r="T85" s="111"/>
    </row>
    <row r="86" spans="1:20" s="110" customFormat="1" ht="12.75" hidden="1" customHeight="1">
      <c r="A86" s="121" t="s">
        <v>191</v>
      </c>
      <c r="B86" s="119"/>
      <c r="C86" s="120" t="s">
        <v>290</v>
      </c>
      <c r="D86" s="119" t="s">
        <v>289</v>
      </c>
      <c r="E86" s="119" t="s">
        <v>276</v>
      </c>
      <c r="F86" s="116"/>
      <c r="G86" s="116"/>
      <c r="H86" s="116"/>
      <c r="I86" s="116"/>
      <c r="J86" s="118"/>
      <c r="K86" s="118"/>
      <c r="L86" s="116"/>
      <c r="M86" s="118"/>
      <c r="N86" s="118"/>
      <c r="O86" s="116">
        <f>H86</f>
        <v>0</v>
      </c>
      <c r="P86" s="115"/>
      <c r="Q86" s="114"/>
      <c r="R86" s="113"/>
      <c r="S86" s="112"/>
      <c r="T86" s="111"/>
    </row>
    <row r="87" spans="1:20" s="122" customFormat="1" ht="12.75" customHeight="1">
      <c r="A87" s="133" t="s">
        <v>288</v>
      </c>
      <c r="B87" s="131"/>
      <c r="C87" s="132"/>
      <c r="D87" s="131"/>
      <c r="E87" s="131"/>
      <c r="F87" s="128">
        <f>SUM(F74:F86)</f>
        <v>2917100</v>
      </c>
      <c r="G87" s="128">
        <f>SUM(G74:G85)</f>
        <v>1741808.08</v>
      </c>
      <c r="H87" s="128">
        <f>SUM(H74:H85)</f>
        <v>1741808.08</v>
      </c>
      <c r="I87" s="130"/>
      <c r="J87" s="129"/>
      <c r="K87" s="128">
        <f>SUM(K74:K85)</f>
        <v>0</v>
      </c>
      <c r="L87" s="130"/>
      <c r="M87" s="129"/>
      <c r="N87" s="128">
        <f>SUM(N74:N85)</f>
        <v>0</v>
      </c>
      <c r="O87" s="128">
        <f>H87</f>
        <v>1741808.08</v>
      </c>
      <c r="P87" s="127">
        <f>SUM(P74:P85)</f>
        <v>1175291.92</v>
      </c>
      <c r="Q87" s="126"/>
      <c r="R87" s="125"/>
      <c r="S87" s="124"/>
      <c r="T87" s="123"/>
    </row>
    <row r="88" spans="1:20" s="110" customFormat="1" ht="0.75" customHeight="1">
      <c r="A88" s="121" t="s">
        <v>192</v>
      </c>
      <c r="B88" s="119"/>
      <c r="C88" s="120" t="s">
        <v>250</v>
      </c>
      <c r="D88" s="139" t="s">
        <v>287</v>
      </c>
      <c r="E88" s="119" t="s">
        <v>276</v>
      </c>
      <c r="F88" s="116">
        <v>0</v>
      </c>
      <c r="G88" s="116">
        <v>0</v>
      </c>
      <c r="H88" s="116">
        <f>G88</f>
        <v>0</v>
      </c>
      <c r="I88" s="116"/>
      <c r="J88" s="118"/>
      <c r="K88" s="117"/>
      <c r="L88" s="116"/>
      <c r="M88" s="118"/>
      <c r="N88" s="117"/>
      <c r="O88" s="116">
        <f>H88</f>
        <v>0</v>
      </c>
      <c r="P88" s="115">
        <f>F88-G88</f>
        <v>0</v>
      </c>
      <c r="Q88" s="114"/>
      <c r="R88" s="113"/>
      <c r="S88" s="112"/>
      <c r="T88" s="111"/>
    </row>
    <row r="89" spans="1:20" s="122" customFormat="1" ht="11.25" hidden="1" customHeight="1">
      <c r="A89" s="133"/>
      <c r="B89" s="131"/>
      <c r="C89" s="132"/>
      <c r="D89" s="131"/>
      <c r="E89" s="131"/>
      <c r="F89" s="128"/>
      <c r="G89" s="128"/>
      <c r="H89" s="128"/>
      <c r="I89" s="128"/>
      <c r="J89" s="138"/>
      <c r="K89" s="138"/>
      <c r="L89" s="128"/>
      <c r="M89" s="138"/>
      <c r="N89" s="138"/>
      <c r="O89" s="128"/>
      <c r="P89" s="127"/>
      <c r="Q89" s="126"/>
      <c r="R89" s="125"/>
      <c r="S89" s="124"/>
      <c r="T89" s="123"/>
    </row>
    <row r="90" spans="1:20" s="110" customFormat="1" ht="12.75" customHeight="1">
      <c r="A90" s="121" t="str">
        <f>A83</f>
        <v>Прочие работы, услуги</v>
      </c>
      <c r="B90" s="119"/>
      <c r="C90" s="120" t="s">
        <v>250</v>
      </c>
      <c r="D90" s="139" t="s">
        <v>287</v>
      </c>
      <c r="E90" s="119" t="s">
        <v>282</v>
      </c>
      <c r="F90" s="116">
        <v>24000</v>
      </c>
      <c r="G90" s="116">
        <v>24000</v>
      </c>
      <c r="H90" s="116">
        <f>G90</f>
        <v>24000</v>
      </c>
      <c r="I90" s="116"/>
      <c r="J90" s="118"/>
      <c r="K90" s="117"/>
      <c r="L90" s="116"/>
      <c r="M90" s="118"/>
      <c r="N90" s="117"/>
      <c r="O90" s="116">
        <f>H90</f>
        <v>24000</v>
      </c>
      <c r="P90" s="115">
        <f>F90-G90</f>
        <v>0</v>
      </c>
      <c r="Q90" s="114"/>
      <c r="R90" s="113"/>
      <c r="S90" s="112"/>
      <c r="T90" s="111"/>
    </row>
    <row r="91" spans="1:20" s="122" customFormat="1" ht="12.75" customHeight="1">
      <c r="A91" s="133" t="s">
        <v>286</v>
      </c>
      <c r="B91" s="131"/>
      <c r="C91" s="132"/>
      <c r="D91" s="131"/>
      <c r="E91" s="131"/>
      <c r="F91" s="128">
        <f>F90+F88</f>
        <v>24000</v>
      </c>
      <c r="G91" s="128">
        <f>G90+G88</f>
        <v>24000</v>
      </c>
      <c r="H91" s="128">
        <f>H90+H88</f>
        <v>24000</v>
      </c>
      <c r="I91" s="128"/>
      <c r="J91" s="138"/>
      <c r="K91" s="137"/>
      <c r="L91" s="128"/>
      <c r="M91" s="138"/>
      <c r="N91" s="137"/>
      <c r="O91" s="128">
        <f>H91</f>
        <v>24000</v>
      </c>
      <c r="P91" s="127">
        <f>F91-G91</f>
        <v>0</v>
      </c>
      <c r="Q91" s="126"/>
      <c r="R91" s="125"/>
      <c r="S91" s="124"/>
      <c r="T91" s="123"/>
    </row>
    <row r="92" spans="1:20" s="110" customFormat="1" ht="24" customHeight="1">
      <c r="A92" s="121" t="s">
        <v>284</v>
      </c>
      <c r="B92" s="119"/>
      <c r="C92" s="120" t="s">
        <v>285</v>
      </c>
      <c r="D92" s="119" t="s">
        <v>283</v>
      </c>
      <c r="E92" s="119" t="s">
        <v>276</v>
      </c>
      <c r="F92" s="116">
        <v>3270000</v>
      </c>
      <c r="G92" s="116">
        <f>2149577.08+203693.08+41053.04+205700</f>
        <v>2600023.2000000002</v>
      </c>
      <c r="H92" s="116">
        <f>G92</f>
        <v>2600023.2000000002</v>
      </c>
      <c r="I92" s="116"/>
      <c r="J92" s="118"/>
      <c r="K92" s="117"/>
      <c r="L92" s="116"/>
      <c r="M92" s="118"/>
      <c r="N92" s="117"/>
      <c r="O92" s="116">
        <f>H92</f>
        <v>2600023.2000000002</v>
      </c>
      <c r="P92" s="115">
        <f>F92-G92</f>
        <v>669976.79999999981</v>
      </c>
      <c r="Q92" s="114"/>
      <c r="R92" s="113"/>
      <c r="S92" s="112"/>
      <c r="T92" s="111"/>
    </row>
    <row r="93" spans="1:20" s="110" customFormat="1" ht="24" customHeight="1">
      <c r="A93" s="121" t="s">
        <v>284</v>
      </c>
      <c r="B93" s="119"/>
      <c r="C93" s="120" t="s">
        <v>263</v>
      </c>
      <c r="D93" s="119" t="s">
        <v>283</v>
      </c>
      <c r="E93" s="119" t="s">
        <v>282</v>
      </c>
      <c r="F93" s="116">
        <v>500000</v>
      </c>
      <c r="G93" s="116">
        <v>50000</v>
      </c>
      <c r="H93" s="116">
        <v>50000</v>
      </c>
      <c r="I93" s="116"/>
      <c r="J93" s="118"/>
      <c r="K93" s="118"/>
      <c r="L93" s="116"/>
      <c r="M93" s="118"/>
      <c r="N93" s="118"/>
      <c r="O93" s="116">
        <f>H93</f>
        <v>50000</v>
      </c>
      <c r="P93" s="115">
        <f>F93-G93</f>
        <v>450000</v>
      </c>
      <c r="Q93" s="114"/>
      <c r="R93" s="113"/>
      <c r="S93" s="112"/>
      <c r="T93" s="111"/>
    </row>
    <row r="94" spans="1:20" s="122" customFormat="1" ht="17.25" customHeight="1">
      <c r="A94" s="133" t="s">
        <v>281</v>
      </c>
      <c r="B94" s="131"/>
      <c r="C94" s="132"/>
      <c r="D94" s="131"/>
      <c r="E94" s="131"/>
      <c r="F94" s="128">
        <f>SUM(F92:F93)</f>
        <v>3770000</v>
      </c>
      <c r="G94" s="128">
        <f>SUM(G92:G93)</f>
        <v>2650023.2000000002</v>
      </c>
      <c r="H94" s="128">
        <f>SUM(H92:H93)</f>
        <v>2650023.2000000002</v>
      </c>
      <c r="I94" s="130"/>
      <c r="J94" s="129"/>
      <c r="K94" s="128">
        <f>SUM(K92:K92)</f>
        <v>0</v>
      </c>
      <c r="L94" s="130"/>
      <c r="M94" s="129"/>
      <c r="N94" s="128">
        <f>SUM(N92:N92)</f>
        <v>0</v>
      </c>
      <c r="O94" s="128">
        <f>SUM(O92:O93)</f>
        <v>2650023.2000000002</v>
      </c>
      <c r="P94" s="127">
        <f>SUM(P92:P93)</f>
        <v>1119976.7999999998</v>
      </c>
      <c r="Q94" s="126"/>
      <c r="R94" s="125"/>
      <c r="S94" s="124"/>
      <c r="T94" s="123"/>
    </row>
    <row r="95" spans="1:20" s="110" customFormat="1" ht="13.5" customHeight="1">
      <c r="A95" s="121" t="s">
        <v>280</v>
      </c>
      <c r="B95" s="119"/>
      <c r="C95" s="120" t="s">
        <v>251</v>
      </c>
      <c r="D95" s="119" t="s">
        <v>279</v>
      </c>
      <c r="E95" s="119" t="s">
        <v>276</v>
      </c>
      <c r="F95" s="116">
        <v>75000</v>
      </c>
      <c r="G95" s="116">
        <f>6044.48*10</f>
        <v>60444.799999999996</v>
      </c>
      <c r="H95" s="116">
        <f>G95</f>
        <v>60444.799999999996</v>
      </c>
      <c r="I95" s="116"/>
      <c r="J95" s="118"/>
      <c r="K95" s="117"/>
      <c r="L95" s="116"/>
      <c r="M95" s="118"/>
      <c r="N95" s="117"/>
      <c r="O95" s="116">
        <f>G95</f>
        <v>60444.799999999996</v>
      </c>
      <c r="P95" s="115">
        <f>F95-G95</f>
        <v>14555.200000000004</v>
      </c>
      <c r="Q95" s="114"/>
      <c r="R95" s="113"/>
      <c r="S95" s="112"/>
      <c r="T95" s="111"/>
    </row>
    <row r="96" spans="1:20" s="122" customFormat="1" ht="12.75" customHeight="1">
      <c r="A96" s="133" t="s">
        <v>278</v>
      </c>
      <c r="B96" s="131"/>
      <c r="C96" s="132"/>
      <c r="D96" s="131"/>
      <c r="E96" s="131"/>
      <c r="F96" s="128">
        <f>F95</f>
        <v>75000</v>
      </c>
      <c r="G96" s="128">
        <f>G95</f>
        <v>60444.799999999996</v>
      </c>
      <c r="H96" s="128">
        <f>H95</f>
        <v>60444.799999999996</v>
      </c>
      <c r="I96" s="130"/>
      <c r="J96" s="129"/>
      <c r="K96" s="128">
        <f>K95</f>
        <v>0</v>
      </c>
      <c r="L96" s="130"/>
      <c r="M96" s="129"/>
      <c r="N96" s="128">
        <f>N95</f>
        <v>0</v>
      </c>
      <c r="O96" s="128">
        <f>O95</f>
        <v>60444.799999999996</v>
      </c>
      <c r="P96" s="127">
        <f>F96-G96</f>
        <v>14555.200000000004</v>
      </c>
      <c r="Q96" s="126"/>
      <c r="R96" s="125"/>
      <c r="S96" s="124"/>
      <c r="T96" s="123"/>
    </row>
    <row r="97" spans="1:20" s="134" customFormat="1" ht="24" customHeight="1">
      <c r="A97" s="121" t="str">
        <f>A55</f>
        <v>Иные выплаты текущего характера организациям</v>
      </c>
      <c r="B97" s="119"/>
      <c r="C97" s="120" t="s">
        <v>252</v>
      </c>
      <c r="D97" s="136" t="s">
        <v>277</v>
      </c>
      <c r="E97" s="119" t="s">
        <v>276</v>
      </c>
      <c r="F97" s="116">
        <v>10000</v>
      </c>
      <c r="G97" s="116">
        <v>9999</v>
      </c>
      <c r="H97" s="116">
        <f>G97</f>
        <v>9999</v>
      </c>
      <c r="I97" s="116"/>
      <c r="J97" s="118"/>
      <c r="K97" s="118"/>
      <c r="L97" s="116"/>
      <c r="M97" s="118"/>
      <c r="N97" s="118"/>
      <c r="O97" s="116">
        <f>H97</f>
        <v>9999</v>
      </c>
      <c r="P97" s="115">
        <f>F97-G97</f>
        <v>1</v>
      </c>
      <c r="Q97" s="114"/>
      <c r="R97" s="113"/>
      <c r="S97" s="112"/>
      <c r="T97" s="135"/>
    </row>
    <row r="98" spans="1:20" s="122" customFormat="1" ht="12.75" customHeight="1">
      <c r="A98" s="133" t="s">
        <v>275</v>
      </c>
      <c r="B98" s="131"/>
      <c r="C98" s="132"/>
      <c r="D98" s="131"/>
      <c r="E98" s="131"/>
      <c r="F98" s="128">
        <f>F97</f>
        <v>10000</v>
      </c>
      <c r="G98" s="128">
        <f>G97</f>
        <v>9999</v>
      </c>
      <c r="H98" s="128">
        <f>H97</f>
        <v>9999</v>
      </c>
      <c r="I98" s="130"/>
      <c r="J98" s="129"/>
      <c r="K98" s="128">
        <f>K97</f>
        <v>0</v>
      </c>
      <c r="L98" s="130"/>
      <c r="M98" s="129"/>
      <c r="N98" s="128">
        <f>N97</f>
        <v>0</v>
      </c>
      <c r="O98" s="128">
        <f>O97</f>
        <v>9999</v>
      </c>
      <c r="P98" s="127">
        <f>P97</f>
        <v>1</v>
      </c>
      <c r="Q98" s="126"/>
      <c r="R98" s="125"/>
      <c r="S98" s="124"/>
      <c r="T98" s="123"/>
    </row>
    <row r="99" spans="1:20" s="110" customFormat="1" ht="24" customHeight="1">
      <c r="A99" s="121" t="s">
        <v>274</v>
      </c>
      <c r="B99" s="119" t="s">
        <v>137</v>
      </c>
      <c r="C99" s="120"/>
      <c r="D99" s="119"/>
      <c r="E99" s="119"/>
      <c r="F99" s="116">
        <f>13468700-F22</f>
        <v>-1221900</v>
      </c>
      <c r="G99" s="116">
        <f>11821201.04-G22</f>
        <v>1730231.9699999988</v>
      </c>
      <c r="H99" s="116">
        <f>G99</f>
        <v>1730231.9699999988</v>
      </c>
      <c r="I99" s="116"/>
      <c r="J99" s="118"/>
      <c r="K99" s="117"/>
      <c r="L99" s="116"/>
      <c r="M99" s="118"/>
      <c r="N99" s="117"/>
      <c r="O99" s="116">
        <f>H99</f>
        <v>1730231.9699999988</v>
      </c>
      <c r="P99" s="115"/>
      <c r="Q99" s="114"/>
      <c r="R99" s="113"/>
      <c r="S99" s="112"/>
      <c r="T99" s="111"/>
    </row>
    <row r="100" spans="1:20">
      <c r="A100" s="107"/>
      <c r="B100" s="107"/>
      <c r="C100" s="107"/>
      <c r="D100" s="107"/>
      <c r="E100" s="107"/>
      <c r="F100" s="104"/>
      <c r="G100" s="104"/>
      <c r="H100" s="104"/>
      <c r="I100" s="104"/>
      <c r="J100" s="104"/>
      <c r="K100" s="104"/>
      <c r="L100" s="105"/>
      <c r="M100" s="104"/>
      <c r="N100" s="104"/>
      <c r="O100" s="103"/>
      <c r="P100" s="103"/>
      <c r="Q100" s="108"/>
      <c r="R100" s="103"/>
    </row>
    <row r="101" spans="1:20">
      <c r="A101" s="107"/>
      <c r="B101" s="107"/>
      <c r="C101" s="107"/>
      <c r="D101" s="109"/>
      <c r="E101" s="109"/>
      <c r="F101" s="109"/>
      <c r="G101" s="104"/>
      <c r="H101" s="104"/>
      <c r="I101" s="104"/>
      <c r="J101" s="104"/>
      <c r="K101" s="104"/>
      <c r="L101" s="105"/>
      <c r="M101" s="104"/>
      <c r="N101" s="104"/>
      <c r="O101" s="103"/>
      <c r="P101" s="103"/>
      <c r="Q101" s="108"/>
      <c r="R101" s="103"/>
    </row>
    <row r="102" spans="1:20">
      <c r="A102" s="107" t="s">
        <v>273</v>
      </c>
      <c r="B102" s="107"/>
      <c r="C102" s="107"/>
      <c r="D102" s="107"/>
      <c r="E102" s="107"/>
      <c r="F102" s="104"/>
      <c r="G102" s="104"/>
      <c r="H102" s="104"/>
      <c r="I102" s="104"/>
      <c r="J102" s="104"/>
      <c r="K102" s="104"/>
      <c r="L102" s="105"/>
      <c r="M102" s="104"/>
      <c r="N102" s="104"/>
      <c r="O102" s="103"/>
      <c r="P102" s="103"/>
      <c r="Q102" s="108"/>
      <c r="R102" s="103"/>
    </row>
    <row r="103" spans="1:20">
      <c r="A103" s="107" t="s">
        <v>272</v>
      </c>
      <c r="B103" s="107"/>
      <c r="C103" s="107"/>
      <c r="D103" s="107"/>
      <c r="E103" s="107"/>
      <c r="F103" s="104"/>
      <c r="G103" s="104"/>
      <c r="H103" s="104"/>
      <c r="I103" s="104"/>
      <c r="J103" s="104"/>
      <c r="K103" s="104"/>
      <c r="L103" s="105"/>
      <c r="M103" s="104"/>
      <c r="N103" s="104"/>
      <c r="O103" s="103"/>
      <c r="P103" s="103"/>
      <c r="Q103" s="103"/>
      <c r="R103" s="103"/>
    </row>
    <row r="104" spans="1:20">
      <c r="A104" s="107"/>
      <c r="B104" s="107"/>
      <c r="C104" s="107"/>
      <c r="D104" s="107"/>
      <c r="E104" s="107"/>
      <c r="F104" s="104"/>
      <c r="G104" s="104"/>
      <c r="H104" s="104"/>
      <c r="I104" s="104"/>
      <c r="J104" s="104"/>
      <c r="K104" s="104"/>
      <c r="L104" s="105"/>
      <c r="M104" s="104"/>
      <c r="N104" s="104"/>
      <c r="O104" s="103"/>
      <c r="P104" s="103"/>
      <c r="Q104" s="103"/>
      <c r="R104" s="103"/>
    </row>
    <row r="105" spans="1:20">
      <c r="A105" s="107"/>
      <c r="B105" s="107"/>
      <c r="C105" s="107"/>
      <c r="D105" s="107"/>
      <c r="E105" s="107"/>
      <c r="F105" s="104"/>
      <c r="G105" s="104"/>
      <c r="H105" s="104"/>
      <c r="I105" s="104"/>
      <c r="J105" s="104"/>
      <c r="K105" s="104"/>
      <c r="L105" s="105"/>
      <c r="M105" s="104"/>
      <c r="N105" s="104"/>
      <c r="O105" s="103"/>
      <c r="P105" s="103"/>
      <c r="Q105" s="103"/>
      <c r="R105" s="103"/>
    </row>
    <row r="106" spans="1:20">
      <c r="A106" s="107" t="s">
        <v>271</v>
      </c>
      <c r="B106" s="107"/>
      <c r="C106" s="107"/>
      <c r="D106" s="107"/>
      <c r="E106" s="107"/>
      <c r="F106" s="106"/>
      <c r="G106" s="106"/>
      <c r="H106" s="104"/>
      <c r="I106" s="104"/>
      <c r="J106" s="104"/>
      <c r="K106" s="104"/>
      <c r="L106" s="105"/>
      <c r="M106" s="104"/>
      <c r="N106" s="104"/>
      <c r="O106" s="103"/>
      <c r="P106" s="103"/>
      <c r="Q106" s="103"/>
      <c r="R106" s="103"/>
    </row>
    <row r="107" spans="1:20">
      <c r="A107" s="107" t="s">
        <v>270</v>
      </c>
      <c r="B107" s="107"/>
      <c r="C107" s="107"/>
      <c r="D107" s="107"/>
      <c r="E107" s="107"/>
      <c r="F107" s="104"/>
      <c r="G107" s="104"/>
      <c r="H107" s="104"/>
      <c r="I107" s="104"/>
      <c r="J107" s="104"/>
      <c r="K107" s="104"/>
      <c r="L107" s="105"/>
      <c r="M107" s="104"/>
      <c r="N107" s="104"/>
      <c r="O107" s="103"/>
      <c r="P107" s="103"/>
      <c r="Q107" s="103"/>
      <c r="R107" s="103"/>
    </row>
    <row r="108" spans="1:20" ht="0.75" customHeight="1">
      <c r="A108" s="107"/>
      <c r="B108" s="107"/>
      <c r="C108" s="107"/>
      <c r="D108" s="107"/>
      <c r="E108" s="107"/>
      <c r="F108" s="106"/>
      <c r="G108" s="104"/>
      <c r="H108" s="104"/>
      <c r="I108" s="104"/>
      <c r="J108" s="104"/>
      <c r="K108" s="104"/>
      <c r="L108" s="105"/>
      <c r="M108" s="104"/>
      <c r="N108" s="104"/>
      <c r="O108" s="103"/>
      <c r="P108" s="103"/>
      <c r="Q108" s="103"/>
      <c r="R108" s="103"/>
    </row>
    <row r="109" spans="1:20" ht="71.25" hidden="1" customHeight="1">
      <c r="A109" s="107"/>
      <c r="B109" s="107"/>
      <c r="C109" s="107"/>
      <c r="D109" s="107"/>
      <c r="E109" s="107"/>
      <c r="F109" s="104"/>
      <c r="G109" s="104"/>
      <c r="H109" s="104"/>
      <c r="I109" s="104"/>
      <c r="J109" s="104"/>
      <c r="K109" s="104"/>
      <c r="L109" s="105"/>
      <c r="M109" s="104"/>
      <c r="N109" s="104"/>
      <c r="O109" s="103"/>
      <c r="P109" s="103"/>
      <c r="Q109" s="103"/>
      <c r="R109" s="103"/>
    </row>
    <row r="110" spans="1:20" ht="78" customHeight="1">
      <c r="A110" s="107"/>
      <c r="B110" s="107"/>
      <c r="C110" s="107"/>
      <c r="D110" s="107"/>
      <c r="E110" s="107"/>
      <c r="F110" s="106"/>
      <c r="G110" s="106"/>
      <c r="H110" s="106"/>
      <c r="I110" s="104"/>
      <c r="J110" s="104"/>
      <c r="K110" s="104"/>
      <c r="L110" s="105"/>
      <c r="M110" s="104"/>
      <c r="N110" s="104"/>
      <c r="O110" s="103"/>
      <c r="P110" s="103"/>
      <c r="Q110" s="103"/>
      <c r="R110" s="103"/>
    </row>
    <row r="111" spans="1:20">
      <c r="F111" s="100"/>
      <c r="G111" s="100"/>
    </row>
    <row r="112" spans="1:20">
      <c r="D112" s="102"/>
      <c r="E112" s="102"/>
      <c r="F112" s="100"/>
      <c r="G112" s="100"/>
      <c r="H112" s="100"/>
      <c r="I112" s="100"/>
      <c r="J112" s="100"/>
      <c r="K112" s="100"/>
      <c r="L112" s="101"/>
      <c r="M112" s="100"/>
      <c r="N112" s="100"/>
      <c r="O112" s="100"/>
      <c r="P112" s="100"/>
    </row>
    <row r="113" spans="4:16" s="94" customFormat="1">
      <c r="D113" s="102"/>
      <c r="E113" s="102"/>
      <c r="F113" s="100"/>
      <c r="G113" s="100"/>
      <c r="H113" s="100"/>
      <c r="I113" s="100"/>
      <c r="J113" s="100"/>
      <c r="K113" s="100"/>
      <c r="L113" s="101"/>
      <c r="M113" s="100"/>
      <c r="N113" s="100"/>
      <c r="O113" s="100"/>
      <c r="P113" s="100"/>
    </row>
    <row r="114" spans="4:16" s="94" customFormat="1">
      <c r="D114" s="99"/>
      <c r="E114" s="99"/>
      <c r="F114" s="100"/>
      <c r="G114" s="100"/>
      <c r="H114" s="100"/>
      <c r="I114" s="100"/>
      <c r="J114" s="100"/>
      <c r="K114" s="100"/>
      <c r="L114" s="101"/>
      <c r="M114" s="100"/>
      <c r="N114" s="100"/>
      <c r="O114" s="100"/>
      <c r="P114" s="100"/>
    </row>
    <row r="115" spans="4:16" s="94" customFormat="1">
      <c r="D115" s="99"/>
      <c r="E115" s="99"/>
      <c r="F115" s="100"/>
      <c r="G115" s="100"/>
      <c r="H115" s="100"/>
      <c r="I115" s="100"/>
      <c r="J115" s="100"/>
      <c r="K115" s="100"/>
      <c r="L115" s="101"/>
      <c r="M115" s="100"/>
      <c r="N115" s="100"/>
      <c r="O115" s="100"/>
      <c r="P115" s="100"/>
    </row>
    <row r="116" spans="4:16" s="94" customFormat="1">
      <c r="D116" s="99"/>
      <c r="E116" s="99"/>
      <c r="F116" s="100"/>
      <c r="G116" s="100"/>
      <c r="H116" s="100"/>
      <c r="I116" s="100"/>
      <c r="J116" s="100"/>
      <c r="K116" s="100"/>
      <c r="L116" s="101"/>
      <c r="M116" s="100"/>
      <c r="N116" s="100"/>
      <c r="O116" s="100"/>
      <c r="P116" s="100"/>
    </row>
    <row r="117" spans="4:16" s="94" customFormat="1">
      <c r="D117" s="99"/>
      <c r="E117" s="99"/>
      <c r="F117" s="100"/>
      <c r="G117" s="100"/>
      <c r="H117" s="100"/>
      <c r="I117" s="100"/>
      <c r="J117" s="100"/>
      <c r="K117" s="100"/>
      <c r="L117" s="101"/>
      <c r="M117" s="100"/>
      <c r="N117" s="100"/>
      <c r="O117" s="100"/>
      <c r="P117" s="100"/>
    </row>
    <row r="118" spans="4:16" s="94" customFormat="1">
      <c r="D118" s="99"/>
      <c r="E118" s="99"/>
      <c r="F118" s="100"/>
      <c r="G118" s="100"/>
      <c r="H118" s="100"/>
      <c r="I118" s="100"/>
      <c r="J118" s="100"/>
      <c r="K118" s="100"/>
      <c r="L118" s="101"/>
      <c r="M118" s="100"/>
      <c r="N118" s="100"/>
      <c r="O118" s="100"/>
      <c r="P118" s="100"/>
    </row>
    <row r="119" spans="4:16" s="94" customFormat="1">
      <c r="D119" s="99"/>
      <c r="E119" s="99"/>
      <c r="F119" s="100"/>
      <c r="G119" s="100"/>
      <c r="H119" s="100"/>
      <c r="I119" s="100"/>
      <c r="J119" s="100"/>
      <c r="K119" s="100"/>
      <c r="L119" s="101"/>
      <c r="M119" s="100"/>
      <c r="N119" s="100"/>
      <c r="O119" s="100"/>
      <c r="P119" s="100"/>
    </row>
    <row r="120" spans="4:16" s="94" customFormat="1">
      <c r="D120" s="99"/>
      <c r="E120" s="99"/>
      <c r="F120" s="100"/>
      <c r="G120" s="100"/>
      <c r="H120" s="100"/>
      <c r="I120" s="100"/>
      <c r="J120" s="100"/>
      <c r="K120" s="100"/>
      <c r="L120" s="101"/>
      <c r="M120" s="100"/>
      <c r="N120" s="100"/>
      <c r="O120" s="100"/>
      <c r="P120" s="100"/>
    </row>
    <row r="121" spans="4:16" s="94" customFormat="1">
      <c r="D121" s="99"/>
      <c r="E121" s="99"/>
      <c r="F121" s="100"/>
      <c r="G121" s="100"/>
      <c r="H121" s="100"/>
      <c r="I121" s="100"/>
      <c r="J121" s="100"/>
      <c r="K121" s="100"/>
      <c r="L121" s="101"/>
      <c r="M121" s="100"/>
      <c r="N121" s="100"/>
      <c r="O121" s="100"/>
      <c r="P121" s="100"/>
    </row>
    <row r="122" spans="4:16" s="94" customFormat="1">
      <c r="D122" s="99"/>
      <c r="E122" s="99"/>
      <c r="F122" s="100"/>
      <c r="G122" s="100"/>
      <c r="H122" s="100"/>
      <c r="I122" s="100"/>
      <c r="J122" s="100"/>
      <c r="K122" s="100"/>
      <c r="L122" s="101"/>
      <c r="M122" s="100"/>
      <c r="N122" s="100"/>
      <c r="O122" s="100"/>
      <c r="P122" s="100"/>
    </row>
    <row r="123" spans="4:16" s="94" customFormat="1">
      <c r="D123" s="99"/>
      <c r="E123" s="99"/>
      <c r="F123" s="100"/>
      <c r="G123" s="100"/>
      <c r="H123" s="100"/>
      <c r="I123" s="100"/>
      <c r="J123" s="100"/>
      <c r="K123" s="100"/>
      <c r="L123" s="101"/>
      <c r="M123" s="100"/>
      <c r="N123" s="100"/>
      <c r="O123" s="100"/>
      <c r="P123" s="100"/>
    </row>
  </sheetData>
  <mergeCells count="89">
    <mergeCell ref="I31:J31"/>
    <mergeCell ref="Q26:R26"/>
    <mergeCell ref="L29:M29"/>
    <mergeCell ref="Q24:R24"/>
    <mergeCell ref="I26:K26"/>
    <mergeCell ref="I21:K21"/>
    <mergeCell ref="I17:K20"/>
    <mergeCell ref="L17:N20"/>
    <mergeCell ref="L22:N22"/>
    <mergeCell ref="O17:O20"/>
    <mergeCell ref="Q27:R27"/>
    <mergeCell ref="I27:K27"/>
    <mergeCell ref="L27:N27"/>
    <mergeCell ref="I24:K24"/>
    <mergeCell ref="C15:C20"/>
    <mergeCell ref="G15:G20"/>
    <mergeCell ref="Q17:R20"/>
    <mergeCell ref="Q22:R22"/>
    <mergeCell ref="Q23:R23"/>
    <mergeCell ref="I33:J33"/>
    <mergeCell ref="I32:J32"/>
    <mergeCell ref="Q21:R21"/>
    <mergeCell ref="P17:P20"/>
    <mergeCell ref="I22:K22"/>
    <mergeCell ref="H15:O16"/>
    <mergeCell ref="I45:K45"/>
    <mergeCell ref="L45:N45"/>
    <mergeCell ref="I36:J36"/>
    <mergeCell ref="I23:K23"/>
    <mergeCell ref="L23:N23"/>
    <mergeCell ref="H17:H20"/>
    <mergeCell ref="L38:M38"/>
    <mergeCell ref="L24:N24"/>
    <mergeCell ref="L26:N26"/>
    <mergeCell ref="A2:P2"/>
    <mergeCell ref="A5:P5"/>
    <mergeCell ref="A12:F12"/>
    <mergeCell ref="A3:P3"/>
    <mergeCell ref="A4:P4"/>
    <mergeCell ref="G11:O11"/>
    <mergeCell ref="G10:O10"/>
    <mergeCell ref="A10:F10"/>
    <mergeCell ref="G9:O9"/>
    <mergeCell ref="A11:F11"/>
    <mergeCell ref="Q7:R7"/>
    <mergeCell ref="Q9:R9"/>
    <mergeCell ref="Q8:R8"/>
    <mergeCell ref="A9:F9"/>
    <mergeCell ref="D101:F101"/>
    <mergeCell ref="I29:J29"/>
    <mergeCell ref="I25:J25"/>
    <mergeCell ref="L25:M25"/>
    <mergeCell ref="L21:N21"/>
    <mergeCell ref="P15:R16"/>
    <mergeCell ref="F15:F20"/>
    <mergeCell ref="I78:J78"/>
    <mergeCell ref="I30:J30"/>
    <mergeCell ref="L30:M30"/>
    <mergeCell ref="I1:Q1"/>
    <mergeCell ref="D15:D20"/>
    <mergeCell ref="E15:E20"/>
    <mergeCell ref="Q13:R13"/>
    <mergeCell ref="A13:F13"/>
    <mergeCell ref="Q10:R10"/>
    <mergeCell ref="Q11:R11"/>
    <mergeCell ref="Q12:R12"/>
    <mergeCell ref="Q5:R5"/>
    <mergeCell ref="Q6:R6"/>
    <mergeCell ref="L87:M87"/>
    <mergeCell ref="I59:J59"/>
    <mergeCell ref="L59:M59"/>
    <mergeCell ref="I63:J63"/>
    <mergeCell ref="L63:M63"/>
    <mergeCell ref="I67:J67"/>
    <mergeCell ref="D113:E113"/>
    <mergeCell ref="I94:J94"/>
    <mergeCell ref="L94:M94"/>
    <mergeCell ref="I96:J96"/>
    <mergeCell ref="L96:M96"/>
    <mergeCell ref="I98:J98"/>
    <mergeCell ref="L98:M98"/>
    <mergeCell ref="I87:J87"/>
    <mergeCell ref="I77:J77"/>
    <mergeCell ref="L67:M67"/>
    <mergeCell ref="L33:M33"/>
    <mergeCell ref="D112:E112"/>
    <mergeCell ref="I35:J35"/>
    <mergeCell ref="L34:M34"/>
    <mergeCell ref="I38:J38"/>
  </mergeCells>
  <pageMargins left="0.59055118110236227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B1:G33"/>
  <sheetViews>
    <sheetView showGridLines="0" workbookViewId="0">
      <selection activeCell="C31" sqref="C31"/>
    </sheetView>
  </sheetViews>
  <sheetFormatPr defaultRowHeight="12.75" customHeight="1"/>
  <cols>
    <col min="2" max="2" width="42.28515625" customWidth="1"/>
    <col min="3" max="3" width="5.5703125" customWidth="1"/>
    <col min="4" max="4" width="32" customWidth="1"/>
    <col min="5" max="5" width="14.7109375" customWidth="1"/>
    <col min="6" max="6" width="12.42578125" customWidth="1"/>
    <col min="7" max="7" width="13" customWidth="1"/>
  </cols>
  <sheetData>
    <row r="1" spans="2:7" ht="11.1" customHeight="1">
      <c r="B1" s="92" t="s">
        <v>139</v>
      </c>
      <c r="C1" s="92"/>
      <c r="D1" s="92"/>
      <c r="E1" s="92"/>
      <c r="F1" s="92"/>
      <c r="G1" s="92"/>
    </row>
    <row r="2" spans="2:7" ht="13.15" customHeight="1">
      <c r="B2" s="73" t="s">
        <v>140</v>
      </c>
      <c r="C2" s="73"/>
      <c r="D2" s="73"/>
      <c r="E2" s="73"/>
      <c r="F2" s="73"/>
      <c r="G2" s="73"/>
    </row>
    <row r="3" spans="2:7" ht="9" customHeight="1" thickBot="1">
      <c r="B3" s="5"/>
      <c r="C3" s="45"/>
      <c r="D3" s="39"/>
      <c r="E3" s="9"/>
      <c r="F3" s="9"/>
      <c r="G3" s="39"/>
    </row>
    <row r="4" spans="2:7" ht="13.9" customHeight="1">
      <c r="B4" s="84" t="s">
        <v>20</v>
      </c>
      <c r="C4" s="78" t="s">
        <v>21</v>
      </c>
      <c r="D4" s="90" t="s">
        <v>141</v>
      </c>
      <c r="E4" s="81" t="s">
        <v>23</v>
      </c>
      <c r="F4" s="81" t="s">
        <v>24</v>
      </c>
      <c r="G4" s="87" t="s">
        <v>25</v>
      </c>
    </row>
    <row r="5" spans="2:7" ht="4.9000000000000004" customHeight="1">
      <c r="B5" s="85"/>
      <c r="C5" s="79"/>
      <c r="D5" s="91"/>
      <c r="E5" s="82"/>
      <c r="F5" s="82"/>
      <c r="G5" s="88"/>
    </row>
    <row r="6" spans="2:7" ht="6" customHeight="1">
      <c r="B6" s="85"/>
      <c r="C6" s="79"/>
      <c r="D6" s="91"/>
      <c r="E6" s="82"/>
      <c r="F6" s="82"/>
      <c r="G6" s="88"/>
    </row>
    <row r="7" spans="2:7" ht="4.9000000000000004" customHeight="1">
      <c r="B7" s="85"/>
      <c r="C7" s="79"/>
      <c r="D7" s="91"/>
      <c r="E7" s="82"/>
      <c r="F7" s="82"/>
      <c r="G7" s="88"/>
    </row>
    <row r="8" spans="2:7" ht="6" customHeight="1">
      <c r="B8" s="85"/>
      <c r="C8" s="79"/>
      <c r="D8" s="91"/>
      <c r="E8" s="82"/>
      <c r="F8" s="82"/>
      <c r="G8" s="88"/>
    </row>
    <row r="9" spans="2:7" ht="6" customHeight="1">
      <c r="B9" s="85"/>
      <c r="C9" s="79"/>
      <c r="D9" s="91"/>
      <c r="E9" s="82"/>
      <c r="F9" s="82"/>
      <c r="G9" s="88"/>
    </row>
    <row r="10" spans="2:7" ht="18" customHeight="1">
      <c r="B10" s="86"/>
      <c r="C10" s="80"/>
      <c r="D10" s="93"/>
      <c r="E10" s="83"/>
      <c r="F10" s="83"/>
      <c r="G10" s="89"/>
    </row>
    <row r="11" spans="2:7" ht="13.5" customHeight="1" thickBot="1">
      <c r="B11" s="18">
        <v>1</v>
      </c>
      <c r="C11" s="19">
        <v>2</v>
      </c>
      <c r="D11" s="20">
        <v>3</v>
      </c>
      <c r="E11" s="21" t="s">
        <v>26</v>
      </c>
      <c r="F11" s="40" t="s">
        <v>27</v>
      </c>
      <c r="G11" s="23" t="s">
        <v>28</v>
      </c>
    </row>
    <row r="12" spans="2:7" ht="22.5">
      <c r="B12" s="46" t="s">
        <v>142</v>
      </c>
      <c r="C12" s="47" t="s">
        <v>143</v>
      </c>
      <c r="D12" s="48" t="s">
        <v>136</v>
      </c>
      <c r="E12" s="49">
        <f>E22+E25</f>
        <v>1221900</v>
      </c>
      <c r="F12" s="49">
        <f>F20</f>
        <v>-1730231.9700000007</v>
      </c>
      <c r="G12" s="50" t="s">
        <v>136</v>
      </c>
    </row>
    <row r="13" spans="2:7">
      <c r="B13" s="51" t="s">
        <v>32</v>
      </c>
      <c r="C13" s="52"/>
      <c r="D13" s="53"/>
      <c r="E13" s="54"/>
      <c r="F13" s="54"/>
      <c r="G13" s="55"/>
    </row>
    <row r="14" spans="2:7" ht="12" customHeight="1">
      <c r="B14" s="41" t="s">
        <v>144</v>
      </c>
      <c r="C14" s="56" t="s">
        <v>145</v>
      </c>
      <c r="D14" s="57" t="s">
        <v>136</v>
      </c>
      <c r="E14" s="42" t="s">
        <v>43</v>
      </c>
      <c r="F14" s="42">
        <v>0</v>
      </c>
      <c r="G14" s="43" t="s">
        <v>43</v>
      </c>
    </row>
    <row r="15" spans="2:7">
      <c r="B15" s="51" t="s">
        <v>146</v>
      </c>
      <c r="C15" s="52"/>
      <c r="D15" s="53"/>
      <c r="E15" s="54"/>
      <c r="F15" s="54"/>
      <c r="G15" s="55"/>
    </row>
    <row r="16" spans="2:7" ht="33.75">
      <c r="B16" s="33" t="s">
        <v>147</v>
      </c>
      <c r="C16" s="34" t="s">
        <v>145</v>
      </c>
      <c r="D16" s="58" t="s">
        <v>148</v>
      </c>
      <c r="E16" s="36">
        <f>F16</f>
        <v>0</v>
      </c>
      <c r="F16" s="36">
        <v>0</v>
      </c>
      <c r="G16" s="37"/>
    </row>
    <row r="17" spans="2:7" ht="33.75">
      <c r="B17" s="24" t="s">
        <v>149</v>
      </c>
      <c r="C17" s="25" t="s">
        <v>145</v>
      </c>
      <c r="D17" s="59" t="s">
        <v>150</v>
      </c>
      <c r="E17" s="27">
        <f>E16</f>
        <v>0</v>
      </c>
      <c r="F17" s="27">
        <v>0</v>
      </c>
      <c r="G17" s="44" t="s">
        <v>43</v>
      </c>
    </row>
    <row r="18" spans="2:7">
      <c r="B18" s="41" t="s">
        <v>151</v>
      </c>
      <c r="C18" s="56" t="s">
        <v>152</v>
      </c>
      <c r="D18" s="57" t="s">
        <v>136</v>
      </c>
      <c r="E18" s="42" t="s">
        <v>43</v>
      </c>
      <c r="F18" s="42" t="s">
        <v>43</v>
      </c>
      <c r="G18" s="43" t="s">
        <v>43</v>
      </c>
    </row>
    <row r="19" spans="2:7">
      <c r="B19" s="51" t="s">
        <v>146</v>
      </c>
      <c r="C19" s="52"/>
      <c r="D19" s="53"/>
      <c r="E19" s="54"/>
      <c r="F19" s="54"/>
      <c r="G19" s="55"/>
    </row>
    <row r="20" spans="2:7">
      <c r="B20" s="46" t="s">
        <v>153</v>
      </c>
      <c r="C20" s="47" t="s">
        <v>154</v>
      </c>
      <c r="D20" s="48" t="s">
        <v>155</v>
      </c>
      <c r="E20" s="49">
        <f>E12</f>
        <v>1221900</v>
      </c>
      <c r="F20" s="49">
        <f>F21</f>
        <v>-1730231.9700000007</v>
      </c>
      <c r="G20" s="50" t="s">
        <v>43</v>
      </c>
    </row>
    <row r="21" spans="2:7" ht="22.5">
      <c r="B21" s="46" t="s">
        <v>156</v>
      </c>
      <c r="C21" s="47" t="s">
        <v>154</v>
      </c>
      <c r="D21" s="48" t="s">
        <v>157</v>
      </c>
      <c r="E21" s="49">
        <f>E12</f>
        <v>1221900</v>
      </c>
      <c r="F21" s="49">
        <f>F22+F25</f>
        <v>-1730231.9700000007</v>
      </c>
      <c r="G21" s="50" t="s">
        <v>43</v>
      </c>
    </row>
    <row r="22" spans="2:7">
      <c r="B22" s="46" t="s">
        <v>158</v>
      </c>
      <c r="C22" s="47" t="s">
        <v>159</v>
      </c>
      <c r="D22" s="48" t="s">
        <v>160</v>
      </c>
      <c r="E22" s="49">
        <f>-'Доходы '!E19</f>
        <v>-13468700</v>
      </c>
      <c r="F22" s="49">
        <f>-13466509.26</f>
        <v>-13466509.26</v>
      </c>
      <c r="G22" s="50" t="s">
        <v>138</v>
      </c>
    </row>
    <row r="23" spans="2:7" ht="22.5">
      <c r="B23" s="24" t="s">
        <v>161</v>
      </c>
      <c r="C23" s="25" t="s">
        <v>159</v>
      </c>
      <c r="D23" s="59" t="s">
        <v>162</v>
      </c>
      <c r="E23" s="27">
        <f>E22</f>
        <v>-13468700</v>
      </c>
      <c r="F23" s="27">
        <f>F22</f>
        <v>-13466509.26</v>
      </c>
      <c r="G23" s="44" t="s">
        <v>138</v>
      </c>
    </row>
    <row r="24" spans="2:7" ht="22.5">
      <c r="B24" s="24" t="s">
        <v>163</v>
      </c>
      <c r="C24" s="25" t="s">
        <v>159</v>
      </c>
      <c r="D24" s="59" t="s">
        <v>164</v>
      </c>
      <c r="E24" s="65">
        <f>E23</f>
        <v>-13468700</v>
      </c>
      <c r="F24" s="65">
        <f>F23</f>
        <v>-13466509.26</v>
      </c>
      <c r="G24" s="44" t="s">
        <v>138</v>
      </c>
    </row>
    <row r="25" spans="2:7">
      <c r="B25" s="46" t="s">
        <v>165</v>
      </c>
      <c r="C25" s="47" t="s">
        <v>166</v>
      </c>
      <c r="D25" s="48" t="s">
        <v>167</v>
      </c>
      <c r="E25" s="66">
        <v>14690600</v>
      </c>
      <c r="F25" s="66">
        <f>11736277.29</f>
        <v>11736277.289999999</v>
      </c>
      <c r="G25" s="50" t="s">
        <v>138</v>
      </c>
    </row>
    <row r="26" spans="2:7" ht="22.5">
      <c r="B26" s="24" t="s">
        <v>168</v>
      </c>
      <c r="C26" s="47" t="s">
        <v>166</v>
      </c>
      <c r="D26" s="59" t="s">
        <v>188</v>
      </c>
      <c r="E26" s="70">
        <f>E25</f>
        <v>14690600</v>
      </c>
      <c r="F26" s="70">
        <f>F25</f>
        <v>11736277.289999999</v>
      </c>
      <c r="G26" s="50"/>
    </row>
    <row r="27" spans="2:7" ht="23.25" thickBot="1">
      <c r="B27" s="24" t="s">
        <v>168</v>
      </c>
      <c r="C27" s="25" t="s">
        <v>166</v>
      </c>
      <c r="D27" s="59" t="s">
        <v>169</v>
      </c>
      <c r="E27" s="65">
        <f>E26</f>
        <v>14690600</v>
      </c>
      <c r="F27" s="65">
        <f>F26</f>
        <v>11736277.289999999</v>
      </c>
      <c r="G27" s="44" t="s">
        <v>138</v>
      </c>
    </row>
    <row r="28" spans="2:7" ht="37.5" customHeight="1">
      <c r="B28" s="60"/>
      <c r="C28" s="61"/>
      <c r="D28" s="62"/>
      <c r="E28" s="63"/>
      <c r="F28" s="63"/>
      <c r="G28" s="64"/>
    </row>
    <row r="29" spans="2:7" ht="12.75" customHeight="1">
      <c r="B29" s="68" t="s">
        <v>267</v>
      </c>
      <c r="E29" s="69"/>
      <c r="G29" s="68" t="s">
        <v>268</v>
      </c>
    </row>
    <row r="30" spans="2:7" ht="18" customHeight="1"/>
    <row r="31" spans="2:7" ht="12.75" customHeight="1">
      <c r="B31" s="68" t="s">
        <v>264</v>
      </c>
      <c r="E31" s="69"/>
      <c r="G31" t="s">
        <v>265</v>
      </c>
    </row>
    <row r="32" spans="2:7" ht="15" customHeight="1"/>
    <row r="33" spans="2:7" ht="12.75" customHeight="1">
      <c r="B33" s="68" t="s">
        <v>223</v>
      </c>
      <c r="E33" s="69"/>
      <c r="G33" s="68" t="s">
        <v>224</v>
      </c>
    </row>
  </sheetData>
  <mergeCells count="8">
    <mergeCell ref="B2:G2"/>
    <mergeCell ref="B1:G1"/>
    <mergeCell ref="B4:B10"/>
    <mergeCell ref="C4:C10"/>
    <mergeCell ref="E4:E10"/>
    <mergeCell ref="D4:D10"/>
    <mergeCell ref="F4:F10"/>
    <mergeCell ref="G4:G10"/>
  </mergeCells>
  <conditionalFormatting sqref="G15:G17 F15 F13:G13 F102:G102">
    <cfRule type="cellIs" priority="2" stopIfTrue="1" operator="equal">
      <formula>0</formula>
    </cfRule>
  </conditionalFormatting>
  <conditionalFormatting sqref="G31 G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170</v>
      </c>
      <c r="B1" t="s">
        <v>27</v>
      </c>
    </row>
    <row r="2" spans="1:2">
      <c r="A2" t="s">
        <v>171</v>
      </c>
      <c r="B2" t="s">
        <v>172</v>
      </c>
    </row>
    <row r="3" spans="1:2">
      <c r="A3" t="s">
        <v>173</v>
      </c>
      <c r="B3" t="s">
        <v>12</v>
      </c>
    </row>
    <row r="4" spans="1:2">
      <c r="A4" t="s">
        <v>174</v>
      </c>
      <c r="B4" t="s">
        <v>175</v>
      </c>
    </row>
    <row r="5" spans="1:2">
      <c r="A5" t="s">
        <v>176</v>
      </c>
      <c r="B5" t="s">
        <v>177</v>
      </c>
    </row>
    <row r="6" spans="1:2">
      <c r="A6" t="s">
        <v>178</v>
      </c>
      <c r="B6" t="s">
        <v>179</v>
      </c>
    </row>
    <row r="7" spans="1:2">
      <c r="A7" t="s">
        <v>180</v>
      </c>
      <c r="B7" t="s">
        <v>179</v>
      </c>
    </row>
    <row r="8" spans="1:2">
      <c r="A8" t="s">
        <v>181</v>
      </c>
      <c r="B8" t="s">
        <v>182</v>
      </c>
    </row>
    <row r="9" spans="1:2">
      <c r="A9" t="s">
        <v>183</v>
      </c>
      <c r="B9" t="s">
        <v>184</v>
      </c>
    </row>
    <row r="10" spans="1:2">
      <c r="A10" t="s">
        <v>185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33</vt:i4>
      </vt:variant>
    </vt:vector>
  </HeadingPairs>
  <TitlesOfParts>
    <vt:vector size="37" baseType="lpstr">
      <vt:lpstr>Доходы </vt:lpstr>
      <vt:lpstr>расходы</vt:lpstr>
      <vt:lpstr>Источники </vt:lpstr>
      <vt:lpstr>_params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'Доходы '!APPT</vt:lpstr>
      <vt:lpstr>'Источники '!APPT</vt:lpstr>
      <vt:lpstr>detailStartExpend</vt:lpstr>
      <vt:lpstr>'Доходы '!FILE_NAME</vt:lpstr>
      <vt:lpstr>'Доходы '!FIO</vt:lpstr>
      <vt:lpstr>'Доходы '!FORM_CODE</vt:lpstr>
      <vt:lpstr>'Доходы '!LAST_CELL</vt:lpstr>
      <vt:lpstr>'Источники '!LAST_CELL</vt:lpstr>
      <vt:lpstr>'Доходы '!PARAMS</vt:lpstr>
      <vt:lpstr>'Доходы '!PERIOD</vt:lpstr>
      <vt:lpstr>'Доходы '!RANGE_NAMES</vt:lpstr>
      <vt:lpstr>'Доходы '!RBEGIN_1</vt:lpstr>
      <vt:lpstr>'Источники '!RBEGIN_1</vt:lpstr>
      <vt:lpstr>'Доходы '!REG_DATE</vt:lpstr>
      <vt:lpstr>'Доходы '!REND_1</vt:lpstr>
      <vt:lpstr>'Источники '!REND_1</vt:lpstr>
      <vt:lpstr>'Источники '!S_520</vt:lpstr>
      <vt:lpstr>'Источники '!S_620</vt:lpstr>
      <vt:lpstr>'Источники '!S_700</vt:lpstr>
      <vt:lpstr>'Источники '!S_700A</vt:lpstr>
      <vt:lpstr>'Доходы '!SIGN</vt:lpstr>
      <vt:lpstr>'Источники '!SIGN</vt:lpstr>
      <vt:lpstr>'Доходы '!SRC_CODE</vt:lpstr>
      <vt:lpstr>'Доходы '!SRC_KIND</vt:lpstr>
      <vt:lpstr>Расходы_Last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POI HSSF rep:2.43.2.48</dc:description>
  <cp:lastModifiedBy>USER</cp:lastModifiedBy>
  <cp:lastPrinted>2021-11-19T06:43:07Z</cp:lastPrinted>
  <dcterms:created xsi:type="dcterms:W3CDTF">2017-12-02T08:17:03Z</dcterms:created>
  <dcterms:modified xsi:type="dcterms:W3CDTF">2022-01-10T10:21:56Z</dcterms:modified>
</cp:coreProperties>
</file>